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Открытость данных (исполнение 2020 и план 2021 год)\Новая папка\"/>
    </mc:Choice>
  </mc:AlternateContent>
  <xr:revisionPtr revIDLastSave="0" documentId="13_ncr:1_{A4D02177-328E-4100-8791-9BD292D2324B}" xr6:coauthVersionLast="45" xr6:coauthVersionMax="45" xr10:uidLastSave="{00000000-0000-0000-0000-000000000000}"/>
  <bookViews>
    <workbookView xWindow="-120" yWindow="-120" windowWidth="29040" windowHeight="15990" tabRatio="168" xr2:uid="{00000000-000D-0000-FFFF-FFFF00000000}"/>
  </bookViews>
  <sheets>
    <sheet name="Доходы бюджета" sheetId="1" r:id="rId1"/>
  </sheets>
  <definedNames>
    <definedName name="__bookmark_1">'Доходы бюджета'!#REF!</definedName>
    <definedName name="__bookmark_10">#REF!</definedName>
    <definedName name="__bookmark_13">#REF!</definedName>
    <definedName name="__bookmark_15">#REF!</definedName>
    <definedName name="__bookmark_27">#REF!</definedName>
    <definedName name="__bookmark_7">'Доходы бюджета'!$A$2:$D$188</definedName>
    <definedName name="_xlnm.Print_Titles" localSheetId="0">'Доходы бюджета'!$2:$5</definedName>
    <definedName name="_xlnm.Print_Area" localSheetId="0">'Доходы бюджета'!$A$1:$D$223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8" i="1"/>
  <c r="P29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9" i="1"/>
  <c r="P50" i="1"/>
  <c r="P51" i="1"/>
  <c r="P53" i="1"/>
  <c r="P59" i="1"/>
  <c r="P61" i="1"/>
  <c r="P62" i="1"/>
  <c r="P63" i="1"/>
  <c r="P64" i="1"/>
  <c r="P65" i="1"/>
  <c r="P66" i="1"/>
  <c r="P70" i="1"/>
  <c r="P71" i="1"/>
  <c r="P72" i="1"/>
  <c r="P73" i="1"/>
  <c r="P74" i="1"/>
  <c r="P75" i="1"/>
  <c r="P76" i="1"/>
  <c r="P77" i="1"/>
  <c r="P78" i="1"/>
  <c r="P79" i="1"/>
  <c r="P80" i="1"/>
  <c r="P81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6" i="1"/>
  <c r="P107" i="1"/>
  <c r="P108" i="1"/>
  <c r="P109" i="1"/>
  <c r="P110" i="1"/>
  <c r="P111" i="1"/>
  <c r="P114" i="1"/>
  <c r="P115" i="1"/>
  <c r="P116" i="1"/>
  <c r="P117" i="1"/>
  <c r="P118" i="1"/>
  <c r="P119" i="1"/>
  <c r="P120" i="1"/>
  <c r="P121" i="1"/>
  <c r="P122" i="1"/>
  <c r="P123" i="1"/>
  <c r="P126" i="1"/>
  <c r="P127" i="1"/>
  <c r="P128" i="1"/>
  <c r="P129" i="1"/>
  <c r="P130" i="1"/>
  <c r="P133" i="1"/>
  <c r="P134" i="1"/>
  <c r="P135" i="1"/>
  <c r="P138" i="1"/>
  <c r="P141" i="1"/>
  <c r="P142" i="1"/>
  <c r="P143" i="1"/>
  <c r="P144" i="1"/>
  <c r="P145" i="1"/>
  <c r="P146" i="1"/>
  <c r="P147" i="1"/>
  <c r="P148" i="1"/>
  <c r="P149" i="1"/>
  <c r="P150" i="1"/>
  <c r="P153" i="1"/>
  <c r="P154" i="1"/>
  <c r="P155" i="1"/>
  <c r="P156" i="1"/>
  <c r="P157" i="1"/>
  <c r="P158" i="1"/>
  <c r="P165" i="1"/>
  <c r="P166" i="1"/>
  <c r="P167" i="1"/>
  <c r="P168" i="1"/>
  <c r="P173" i="1"/>
  <c r="P174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205" i="1"/>
  <c r="P206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6" i="1"/>
  <c r="O222" i="1"/>
  <c r="O7" i="1"/>
  <c r="O8" i="1"/>
  <c r="O9" i="1"/>
  <c r="O10" i="1"/>
  <c r="O11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9" i="1"/>
  <c r="O50" i="1"/>
  <c r="O51" i="1"/>
  <c r="O52" i="1"/>
  <c r="O53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3" i="1"/>
  <c r="O124" i="1"/>
  <c r="O125" i="1"/>
  <c r="O130" i="1"/>
  <c r="O131" i="1"/>
  <c r="O132" i="1"/>
  <c r="O133" i="1"/>
  <c r="O134" i="1"/>
  <c r="O135" i="1"/>
  <c r="O136" i="1"/>
  <c r="O137" i="1"/>
  <c r="O143" i="1"/>
  <c r="O144" i="1"/>
  <c r="O145" i="1"/>
  <c r="O146" i="1"/>
  <c r="O147" i="1"/>
  <c r="O148" i="1"/>
  <c r="O149" i="1"/>
  <c r="O150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71" i="1"/>
  <c r="O172" i="1"/>
  <c r="O173" i="1"/>
  <c r="O174" i="1"/>
  <c r="O177" i="1"/>
  <c r="O178" i="1"/>
  <c r="O179" i="1"/>
  <c r="O180" i="1"/>
  <c r="O181" i="1"/>
  <c r="O182" i="1"/>
  <c r="O183" i="1"/>
  <c r="O184" i="1"/>
  <c r="O185" i="1"/>
  <c r="O188" i="1"/>
  <c r="O189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6" i="1"/>
  <c r="J95" i="1" l="1"/>
  <c r="J94" i="1"/>
  <c r="J220" i="1"/>
  <c r="J219" i="1"/>
  <c r="J216" i="1"/>
  <c r="J215" i="1"/>
  <c r="J214" i="1" s="1"/>
  <c r="J208" i="1"/>
  <c r="J207" i="1"/>
  <c r="J211" i="1"/>
  <c r="J210" i="1"/>
  <c r="K210" i="1" s="1"/>
  <c r="J196" i="1"/>
  <c r="J203" i="1"/>
  <c r="J201" i="1"/>
  <c r="J199" i="1"/>
  <c r="J205" i="1"/>
  <c r="J197" i="1"/>
  <c r="J194" i="1"/>
  <c r="J192" i="1"/>
  <c r="J190" i="1"/>
  <c r="J188" i="1"/>
  <c r="J186" i="1"/>
  <c r="J184" i="1"/>
  <c r="J182" i="1"/>
  <c r="J179" i="1"/>
  <c r="J180" i="1"/>
  <c r="J171" i="1"/>
  <c r="J169" i="1"/>
  <c r="J175" i="1"/>
  <c r="J177" i="1"/>
  <c r="J173" i="1"/>
  <c r="J167" i="1"/>
  <c r="J163" i="1"/>
  <c r="J161" i="1"/>
  <c r="J159" i="1"/>
  <c r="J165" i="1"/>
  <c r="J157" i="1"/>
  <c r="J152" i="1"/>
  <c r="J151" i="1"/>
  <c r="J155" i="1"/>
  <c r="J153" i="1"/>
  <c r="J148" i="1"/>
  <c r="J146" i="1"/>
  <c r="J145" i="1" s="1"/>
  <c r="K145" i="1" s="1"/>
  <c r="J141" i="1"/>
  <c r="J139" i="1"/>
  <c r="J138" i="1" s="1"/>
  <c r="K138" i="1" s="1"/>
  <c r="J136" i="1"/>
  <c r="J131" i="1"/>
  <c r="J130" i="1"/>
  <c r="J133" i="1"/>
  <c r="J128" i="1"/>
  <c r="J124" i="1"/>
  <c r="J123" i="1"/>
  <c r="J126" i="1"/>
  <c r="J121" i="1"/>
  <c r="J119" i="1"/>
  <c r="J117" i="1"/>
  <c r="J114" i="1"/>
  <c r="J112" i="1"/>
  <c r="J110" i="1"/>
  <c r="J104" i="1"/>
  <c r="J108" i="1"/>
  <c r="J106" i="1"/>
  <c r="K106" i="1" s="1"/>
  <c r="J102" i="1"/>
  <c r="J100" i="1"/>
  <c r="J98" i="1"/>
  <c r="J96" i="1"/>
  <c r="K112" i="1"/>
  <c r="K108" i="1"/>
  <c r="K100" i="1"/>
  <c r="J92" i="1"/>
  <c r="J91" i="1"/>
  <c r="K91" i="1" s="1"/>
  <c r="J89" i="1"/>
  <c r="J88" i="1"/>
  <c r="J87" i="1" s="1"/>
  <c r="K87" i="1" s="1"/>
  <c r="J49" i="1"/>
  <c r="J85" i="1"/>
  <c r="J84" i="1"/>
  <c r="J83" i="1" s="1"/>
  <c r="K83" i="1" s="1"/>
  <c r="J79" i="1"/>
  <c r="J76" i="1"/>
  <c r="J75" i="1" s="1"/>
  <c r="K75" i="1" s="1"/>
  <c r="J73" i="1"/>
  <c r="J71" i="1"/>
  <c r="J70" i="1" s="1"/>
  <c r="K70" i="1" s="1"/>
  <c r="J68" i="1"/>
  <c r="J67" i="1" s="1"/>
  <c r="J65" i="1"/>
  <c r="K65" i="1" s="1"/>
  <c r="J63" i="1"/>
  <c r="J57" i="1"/>
  <c r="J53" i="1"/>
  <c r="J50" i="1"/>
  <c r="J47" i="1"/>
  <c r="J46" i="1"/>
  <c r="J44" i="1"/>
  <c r="J42" i="1"/>
  <c r="J41" i="1" s="1"/>
  <c r="K41" i="1" s="1"/>
  <c r="J39" i="1"/>
  <c r="J36" i="1"/>
  <c r="J34" i="1"/>
  <c r="J32" i="1"/>
  <c r="J28" i="1"/>
  <c r="J25" i="1"/>
  <c r="J24" i="1"/>
  <c r="J23" i="1" s="1"/>
  <c r="K23" i="1" s="1"/>
  <c r="J21" i="1"/>
  <c r="J19" i="1"/>
  <c r="J17" i="1"/>
  <c r="J15" i="1"/>
  <c r="J14" i="1" s="1"/>
  <c r="K212" i="1"/>
  <c r="K211" i="1"/>
  <c r="K206" i="1"/>
  <c r="K205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4" i="1"/>
  <c r="K173" i="1"/>
  <c r="K172" i="1"/>
  <c r="K171" i="1"/>
  <c r="K168" i="1"/>
  <c r="K167" i="1"/>
  <c r="K166" i="1"/>
  <c r="K165" i="1"/>
  <c r="K158" i="1"/>
  <c r="K156" i="1"/>
  <c r="K155" i="1"/>
  <c r="K154" i="1"/>
  <c r="K153" i="1"/>
  <c r="K149" i="1"/>
  <c r="K148" i="1"/>
  <c r="K147" i="1"/>
  <c r="K146" i="1"/>
  <c r="K142" i="1"/>
  <c r="K141" i="1"/>
  <c r="K140" i="1"/>
  <c r="K135" i="1"/>
  <c r="K134" i="1"/>
  <c r="K133" i="1"/>
  <c r="K130" i="1"/>
  <c r="K129" i="1"/>
  <c r="K128" i="1"/>
  <c r="K122" i="1"/>
  <c r="K121" i="1"/>
  <c r="K120" i="1"/>
  <c r="K119" i="1"/>
  <c r="K118" i="1"/>
  <c r="K117" i="1"/>
  <c r="K115" i="1"/>
  <c r="K114" i="1"/>
  <c r="K113" i="1"/>
  <c r="K111" i="1"/>
  <c r="K110" i="1"/>
  <c r="K109" i="1"/>
  <c r="K107" i="1"/>
  <c r="K103" i="1"/>
  <c r="K102" i="1"/>
  <c r="K101" i="1"/>
  <c r="K99" i="1"/>
  <c r="K98" i="1"/>
  <c r="K97" i="1"/>
  <c r="K93" i="1"/>
  <c r="K92" i="1"/>
  <c r="K90" i="1"/>
  <c r="K89" i="1"/>
  <c r="K88" i="1"/>
  <c r="K86" i="1"/>
  <c r="K85" i="1"/>
  <c r="K82" i="1"/>
  <c r="K81" i="1"/>
  <c r="K80" i="1"/>
  <c r="K79" i="1"/>
  <c r="K78" i="1"/>
  <c r="K77" i="1"/>
  <c r="K74" i="1"/>
  <c r="K73" i="1"/>
  <c r="K72" i="1"/>
  <c r="K66" i="1"/>
  <c r="K64" i="1"/>
  <c r="K63" i="1"/>
  <c r="K59" i="1"/>
  <c r="K53" i="1"/>
  <c r="K51" i="1"/>
  <c r="K50" i="1"/>
  <c r="K49" i="1"/>
  <c r="K45" i="1"/>
  <c r="K44" i="1"/>
  <c r="K43" i="1"/>
  <c r="K42" i="1"/>
  <c r="K40" i="1"/>
  <c r="K37" i="1"/>
  <c r="K36" i="1"/>
  <c r="K35" i="1"/>
  <c r="K34" i="1"/>
  <c r="K33" i="1"/>
  <c r="K32" i="1"/>
  <c r="K29" i="1"/>
  <c r="K28" i="1"/>
  <c r="K26" i="1"/>
  <c r="K25" i="1"/>
  <c r="K24" i="1"/>
  <c r="K22" i="1"/>
  <c r="K21" i="1"/>
  <c r="K20" i="1"/>
  <c r="K19" i="1"/>
  <c r="K18" i="1"/>
  <c r="K17" i="1"/>
  <c r="K16" i="1"/>
  <c r="K15" i="1"/>
  <c r="K12" i="1"/>
  <c r="K11" i="1"/>
  <c r="K10" i="1"/>
  <c r="K9" i="1"/>
  <c r="K8" i="1"/>
  <c r="K7" i="1"/>
  <c r="J7" i="1"/>
  <c r="J8" i="1"/>
  <c r="J213" i="1" l="1"/>
  <c r="J150" i="1"/>
  <c r="J144" i="1" s="1"/>
  <c r="K157" i="1"/>
  <c r="K139" i="1"/>
  <c r="K94" i="1"/>
  <c r="K95" i="1"/>
  <c r="K96" i="1"/>
  <c r="K84" i="1"/>
  <c r="K76" i="1"/>
  <c r="J62" i="1"/>
  <c r="K71" i="1"/>
  <c r="J38" i="1"/>
  <c r="K38" i="1" s="1"/>
  <c r="K39" i="1"/>
  <c r="K14" i="1"/>
  <c r="J13" i="1"/>
  <c r="K150" i="1" l="1"/>
  <c r="K144" i="1"/>
  <c r="J143" i="1"/>
  <c r="K143" i="1" s="1"/>
  <c r="J61" i="1"/>
  <c r="K61" i="1" s="1"/>
  <c r="K62" i="1"/>
  <c r="J6" i="1"/>
  <c r="K13" i="1"/>
  <c r="K6" i="1" l="1"/>
  <c r="J222" i="1"/>
  <c r="K222" i="1" l="1"/>
  <c r="I150" i="1" l="1"/>
  <c r="H150" i="1"/>
  <c r="G150" i="1"/>
  <c r="N150" i="1"/>
  <c r="M150" i="1"/>
  <c r="L150" i="1"/>
  <c r="L144" i="1" s="1"/>
  <c r="L143" i="1" s="1"/>
  <c r="L222" i="1" s="1"/>
  <c r="N145" i="1"/>
  <c r="M145" i="1"/>
  <c r="L145" i="1"/>
  <c r="N144" i="1"/>
  <c r="N143" i="1" s="1"/>
  <c r="N220" i="1"/>
  <c r="M220" i="1"/>
  <c r="M219" i="1" s="1"/>
  <c r="L220" i="1"/>
  <c r="N219" i="1"/>
  <c r="L219" i="1"/>
  <c r="N216" i="1"/>
  <c r="M216" i="1"/>
  <c r="M215" i="1" s="1"/>
  <c r="M214" i="1" s="1"/>
  <c r="M213" i="1" s="1"/>
  <c r="L216" i="1"/>
  <c r="N215" i="1"/>
  <c r="N214" i="1" s="1"/>
  <c r="N213" i="1" s="1"/>
  <c r="L215" i="1"/>
  <c r="L214" i="1" s="1"/>
  <c r="L213" i="1" s="1"/>
  <c r="N211" i="1"/>
  <c r="M211" i="1"/>
  <c r="M210" i="1" s="1"/>
  <c r="L211" i="1"/>
  <c r="N210" i="1"/>
  <c r="L210" i="1"/>
  <c r="N208" i="1"/>
  <c r="M208" i="1"/>
  <c r="M207" i="1" s="1"/>
  <c r="L208" i="1"/>
  <c r="N207" i="1"/>
  <c r="L207" i="1"/>
  <c r="M205" i="1"/>
  <c r="N205" i="1"/>
  <c r="N196" i="1" s="1"/>
  <c r="L205" i="1"/>
  <c r="N203" i="1"/>
  <c r="M203" i="1"/>
  <c r="L203" i="1"/>
  <c r="N201" i="1"/>
  <c r="M201" i="1"/>
  <c r="L201" i="1"/>
  <c r="N199" i="1"/>
  <c r="M199" i="1"/>
  <c r="M196" i="1" s="1"/>
  <c r="L199" i="1"/>
  <c r="L196" i="1"/>
  <c r="N197" i="1"/>
  <c r="M197" i="1"/>
  <c r="L197" i="1"/>
  <c r="N190" i="1"/>
  <c r="M190" i="1"/>
  <c r="L190" i="1"/>
  <c r="N188" i="1"/>
  <c r="M188" i="1"/>
  <c r="L188" i="1"/>
  <c r="N194" i="1"/>
  <c r="M194" i="1"/>
  <c r="L194" i="1"/>
  <c r="N192" i="1"/>
  <c r="M192" i="1"/>
  <c r="L192" i="1"/>
  <c r="L179" i="1" s="1"/>
  <c r="N186" i="1"/>
  <c r="M186" i="1"/>
  <c r="L186" i="1"/>
  <c r="N184" i="1"/>
  <c r="M184" i="1"/>
  <c r="L184" i="1"/>
  <c r="N182" i="1"/>
  <c r="M182" i="1"/>
  <c r="L182" i="1"/>
  <c r="N179" i="1"/>
  <c r="N180" i="1"/>
  <c r="M180" i="1"/>
  <c r="L180" i="1"/>
  <c r="I175" i="1"/>
  <c r="H175" i="1"/>
  <c r="G175" i="1"/>
  <c r="E175" i="1"/>
  <c r="D175" i="1"/>
  <c r="C175" i="1"/>
  <c r="N177" i="1"/>
  <c r="M177" i="1"/>
  <c r="L177" i="1"/>
  <c r="N175" i="1"/>
  <c r="M175" i="1"/>
  <c r="L175" i="1"/>
  <c r="I169" i="1"/>
  <c r="H169" i="1"/>
  <c r="G169" i="1"/>
  <c r="E169" i="1"/>
  <c r="D169" i="1"/>
  <c r="C169" i="1"/>
  <c r="I171" i="1"/>
  <c r="H171" i="1"/>
  <c r="G171" i="1"/>
  <c r="N171" i="1"/>
  <c r="M171" i="1"/>
  <c r="L171" i="1"/>
  <c r="N173" i="1"/>
  <c r="M173" i="1"/>
  <c r="L173" i="1"/>
  <c r="N169" i="1"/>
  <c r="M169" i="1"/>
  <c r="L169" i="1"/>
  <c r="N167" i="1"/>
  <c r="M167" i="1"/>
  <c r="L167" i="1"/>
  <c r="N163" i="1"/>
  <c r="M163" i="1"/>
  <c r="L163" i="1"/>
  <c r="N161" i="1"/>
  <c r="M161" i="1"/>
  <c r="L161" i="1"/>
  <c r="N159" i="1"/>
  <c r="M159" i="1"/>
  <c r="L159" i="1"/>
  <c r="I163" i="1"/>
  <c r="H163" i="1"/>
  <c r="G163" i="1"/>
  <c r="G161" i="1"/>
  <c r="I161" i="1"/>
  <c r="H161" i="1"/>
  <c r="I159" i="1"/>
  <c r="H159" i="1"/>
  <c r="G159" i="1"/>
  <c r="N165" i="1"/>
  <c r="M165" i="1"/>
  <c r="L165" i="1"/>
  <c r="N157" i="1"/>
  <c r="M157" i="1"/>
  <c r="L157" i="1"/>
  <c r="N153" i="1"/>
  <c r="M153" i="1"/>
  <c r="L153" i="1"/>
  <c r="N155" i="1"/>
  <c r="M155" i="1"/>
  <c r="L155" i="1"/>
  <c r="N151" i="1"/>
  <c r="M151" i="1"/>
  <c r="L151" i="1"/>
  <c r="N149" i="1"/>
  <c r="M149" i="1"/>
  <c r="M148" i="1" s="1"/>
  <c r="L149" i="1"/>
  <c r="N148" i="1"/>
  <c r="L148" i="1"/>
  <c r="N146" i="1"/>
  <c r="M146" i="1"/>
  <c r="L146" i="1"/>
  <c r="N7" i="1"/>
  <c r="M7" i="1"/>
  <c r="L7" i="1"/>
  <c r="L6" i="1"/>
  <c r="N95" i="1"/>
  <c r="M95" i="1"/>
  <c r="N94" i="1"/>
  <c r="M94" i="1"/>
  <c r="L94" i="1"/>
  <c r="L95" i="1"/>
  <c r="N96" i="1"/>
  <c r="M96" i="1"/>
  <c r="L96" i="1"/>
  <c r="N100" i="1"/>
  <c r="M100" i="1"/>
  <c r="L100" i="1"/>
  <c r="N98" i="1"/>
  <c r="M98" i="1"/>
  <c r="L98" i="1"/>
  <c r="N104" i="1"/>
  <c r="M104" i="1"/>
  <c r="L104" i="1"/>
  <c r="N102" i="1"/>
  <c r="M102" i="1"/>
  <c r="L102" i="1"/>
  <c r="N106" i="1"/>
  <c r="M106" i="1"/>
  <c r="L106" i="1"/>
  <c r="N108" i="1"/>
  <c r="M108" i="1"/>
  <c r="L108" i="1"/>
  <c r="N110" i="1"/>
  <c r="M110" i="1"/>
  <c r="L110" i="1"/>
  <c r="N112" i="1"/>
  <c r="M112" i="1"/>
  <c r="L112" i="1"/>
  <c r="N114" i="1"/>
  <c r="M114" i="1"/>
  <c r="L114" i="1"/>
  <c r="N117" i="1"/>
  <c r="M117" i="1"/>
  <c r="L117" i="1"/>
  <c r="N119" i="1"/>
  <c r="M119" i="1"/>
  <c r="L119" i="1"/>
  <c r="N128" i="1"/>
  <c r="M128" i="1"/>
  <c r="L128" i="1"/>
  <c r="N130" i="1"/>
  <c r="M130" i="1"/>
  <c r="L130" i="1"/>
  <c r="N131" i="1"/>
  <c r="M131" i="1"/>
  <c r="L131" i="1"/>
  <c r="N126" i="1"/>
  <c r="M126" i="1"/>
  <c r="L126" i="1"/>
  <c r="N124" i="1"/>
  <c r="N123" i="1" s="1"/>
  <c r="M124" i="1"/>
  <c r="L124" i="1"/>
  <c r="L123" i="1" s="1"/>
  <c r="M123" i="1"/>
  <c r="G126" i="1"/>
  <c r="G123" i="1"/>
  <c r="N121" i="1"/>
  <c r="M121" i="1"/>
  <c r="L121" i="1"/>
  <c r="N133" i="1"/>
  <c r="M133" i="1"/>
  <c r="L133" i="1"/>
  <c r="I133" i="1"/>
  <c r="H133" i="1"/>
  <c r="G133" i="1"/>
  <c r="N136" i="1"/>
  <c r="M136" i="1"/>
  <c r="L136" i="1"/>
  <c r="L138" i="1"/>
  <c r="L139" i="1"/>
  <c r="N139" i="1"/>
  <c r="N138" i="1" s="1"/>
  <c r="M139" i="1"/>
  <c r="M138" i="1" s="1"/>
  <c r="L142" i="1"/>
  <c r="N141" i="1"/>
  <c r="M141" i="1"/>
  <c r="L141" i="1"/>
  <c r="N92" i="1"/>
  <c r="M92" i="1"/>
  <c r="M91" i="1" s="1"/>
  <c r="L92" i="1"/>
  <c r="N91" i="1"/>
  <c r="L91" i="1"/>
  <c r="N89" i="1"/>
  <c r="M89" i="1"/>
  <c r="M88" i="1" s="1"/>
  <c r="L89" i="1"/>
  <c r="N88" i="1"/>
  <c r="N87" i="1" s="1"/>
  <c r="L88" i="1"/>
  <c r="L87" i="1" s="1"/>
  <c r="N85" i="1"/>
  <c r="M85" i="1"/>
  <c r="M84" i="1" s="1"/>
  <c r="M83" i="1" s="1"/>
  <c r="L85" i="1"/>
  <c r="N84" i="1"/>
  <c r="N83" i="1" s="1"/>
  <c r="L84" i="1"/>
  <c r="L83" i="1" s="1"/>
  <c r="N76" i="1"/>
  <c r="M76" i="1"/>
  <c r="M75" i="1" s="1"/>
  <c r="L76" i="1"/>
  <c r="N75" i="1"/>
  <c r="L75" i="1"/>
  <c r="N79" i="1"/>
  <c r="M79" i="1"/>
  <c r="L79" i="1"/>
  <c r="N73" i="1"/>
  <c r="M73" i="1"/>
  <c r="L73" i="1"/>
  <c r="N71" i="1"/>
  <c r="N70" i="1" s="1"/>
  <c r="M71" i="1"/>
  <c r="L71" i="1"/>
  <c r="L70" i="1" s="1"/>
  <c r="M70" i="1"/>
  <c r="N68" i="1"/>
  <c r="L68" i="1"/>
  <c r="N67" i="1"/>
  <c r="N62" i="1" s="1"/>
  <c r="L67" i="1"/>
  <c r="L62" i="1" s="1"/>
  <c r="N65" i="1"/>
  <c r="M65" i="1"/>
  <c r="M62" i="1" s="1"/>
  <c r="L65" i="1"/>
  <c r="N63" i="1"/>
  <c r="M63" i="1"/>
  <c r="L63" i="1"/>
  <c r="N24" i="1"/>
  <c r="M24" i="1"/>
  <c r="N23" i="1"/>
  <c r="M23" i="1"/>
  <c r="L24" i="1"/>
  <c r="L23" i="1"/>
  <c r="N49" i="1"/>
  <c r="M49" i="1"/>
  <c r="L49" i="1"/>
  <c r="N57" i="1"/>
  <c r="M57" i="1"/>
  <c r="M53" i="1" s="1"/>
  <c r="L57" i="1"/>
  <c r="N53" i="1"/>
  <c r="L53" i="1"/>
  <c r="N50" i="1"/>
  <c r="M50" i="1"/>
  <c r="L50" i="1"/>
  <c r="N44" i="1"/>
  <c r="M44" i="1"/>
  <c r="L44" i="1"/>
  <c r="N42" i="1"/>
  <c r="N41" i="1" s="1"/>
  <c r="M42" i="1"/>
  <c r="L42" i="1"/>
  <c r="L41" i="1" s="1"/>
  <c r="M41" i="1"/>
  <c r="N39" i="1"/>
  <c r="N38" i="1" s="1"/>
  <c r="M39" i="1"/>
  <c r="L39" i="1"/>
  <c r="L38" i="1" s="1"/>
  <c r="M38" i="1"/>
  <c r="N36" i="1"/>
  <c r="M36" i="1"/>
  <c r="L36" i="1"/>
  <c r="N34" i="1"/>
  <c r="M34" i="1"/>
  <c r="L34" i="1"/>
  <c r="N28" i="1"/>
  <c r="M28" i="1"/>
  <c r="L28" i="1"/>
  <c r="N25" i="1"/>
  <c r="M25" i="1"/>
  <c r="L25" i="1"/>
  <c r="N21" i="1"/>
  <c r="M21" i="1"/>
  <c r="L21" i="1"/>
  <c r="N19" i="1"/>
  <c r="M19" i="1"/>
  <c r="L19" i="1"/>
  <c r="N17" i="1"/>
  <c r="M17" i="1"/>
  <c r="L17" i="1"/>
  <c r="N15" i="1"/>
  <c r="N14" i="1" s="1"/>
  <c r="N13" i="1" s="1"/>
  <c r="M15" i="1"/>
  <c r="L15" i="1"/>
  <c r="L14" i="1" s="1"/>
  <c r="L13" i="1" s="1"/>
  <c r="M14" i="1"/>
  <c r="M13" i="1" s="1"/>
  <c r="N8" i="1"/>
  <c r="M8" i="1"/>
  <c r="L8" i="1"/>
  <c r="N6" i="1" l="1"/>
  <c r="N222" i="1" s="1"/>
  <c r="M144" i="1"/>
  <c r="M143" i="1" s="1"/>
  <c r="M222" i="1" s="1"/>
  <c r="M179" i="1"/>
  <c r="M6" i="1"/>
  <c r="M87" i="1"/>
  <c r="N61" i="1"/>
  <c r="M61" i="1"/>
  <c r="L61" i="1"/>
  <c r="I130" i="1" l="1"/>
  <c r="I94" i="1"/>
  <c r="I6" i="1" s="1"/>
  <c r="I23" i="1"/>
  <c r="I24" i="1"/>
  <c r="I220" i="1"/>
  <c r="I219" i="1"/>
  <c r="I216" i="1"/>
  <c r="I215" i="1"/>
  <c r="I214" i="1" s="1"/>
  <c r="I213" i="1" s="1"/>
  <c r="I208" i="1"/>
  <c r="H208" i="1"/>
  <c r="I207" i="1"/>
  <c r="H207" i="1"/>
  <c r="I211" i="1"/>
  <c r="I210" i="1"/>
  <c r="I179" i="1"/>
  <c r="H179" i="1"/>
  <c r="G179" i="1"/>
  <c r="I196" i="1"/>
  <c r="H196" i="1"/>
  <c r="G196" i="1"/>
  <c r="G205" i="1"/>
  <c r="E205" i="1"/>
  <c r="D205" i="1"/>
  <c r="C205" i="1"/>
  <c r="I205" i="1"/>
  <c r="I203" i="1"/>
  <c r="H203" i="1"/>
  <c r="I201" i="1"/>
  <c r="H201" i="1"/>
  <c r="I199" i="1"/>
  <c r="H199" i="1"/>
  <c r="I197" i="1"/>
  <c r="I194" i="1"/>
  <c r="E190" i="1"/>
  <c r="D190" i="1"/>
  <c r="C190" i="1"/>
  <c r="G190" i="1"/>
  <c r="I190" i="1"/>
  <c r="I192" i="1"/>
  <c r="I188" i="1"/>
  <c r="I186" i="1"/>
  <c r="I184" i="1"/>
  <c r="I182" i="1"/>
  <c r="I180" i="1"/>
  <c r="I177" i="1"/>
  <c r="H177" i="1"/>
  <c r="I173" i="1"/>
  <c r="H173" i="1"/>
  <c r="I167" i="1"/>
  <c r="H167" i="1"/>
  <c r="I165" i="1"/>
  <c r="H165" i="1"/>
  <c r="I157" i="1"/>
  <c r="H157" i="1"/>
  <c r="I155" i="1"/>
  <c r="H155" i="1"/>
  <c r="I153" i="1"/>
  <c r="H153" i="1"/>
  <c r="I152" i="1"/>
  <c r="H152" i="1"/>
  <c r="I151" i="1"/>
  <c r="I144" i="1" s="1"/>
  <c r="I143" i="1" s="1"/>
  <c r="H151" i="1"/>
  <c r="H144" i="1" s="1"/>
  <c r="H143" i="1" s="1"/>
  <c r="H222" i="1" s="1"/>
  <c r="H149" i="1"/>
  <c r="I148" i="1"/>
  <c r="H148" i="1"/>
  <c r="I146" i="1"/>
  <c r="H146" i="1"/>
  <c r="I145" i="1"/>
  <c r="H145" i="1"/>
  <c r="I28" i="1"/>
  <c r="I8" i="1"/>
  <c r="I7" i="1"/>
  <c r="I131" i="1"/>
  <c r="H131" i="1"/>
  <c r="H130" i="1" s="1"/>
  <c r="I128" i="1"/>
  <c r="I124" i="1"/>
  <c r="H124" i="1"/>
  <c r="H123" i="1" s="1"/>
  <c r="I126" i="1"/>
  <c r="E126" i="1"/>
  <c r="E123" i="1" s="1"/>
  <c r="D126" i="1"/>
  <c r="C126" i="1"/>
  <c r="I121" i="1"/>
  <c r="I119" i="1"/>
  <c r="I117" i="1"/>
  <c r="I114" i="1"/>
  <c r="I112" i="1"/>
  <c r="I110" i="1"/>
  <c r="I108" i="1"/>
  <c r="I104" i="1"/>
  <c r="H104" i="1"/>
  <c r="I106" i="1"/>
  <c r="I102" i="1"/>
  <c r="H95" i="1"/>
  <c r="I100" i="1"/>
  <c r="I98" i="1"/>
  <c r="I96" i="1"/>
  <c r="I95" i="1" l="1"/>
  <c r="I123" i="1"/>
  <c r="H94" i="1"/>
  <c r="I92" i="1" l="1"/>
  <c r="I91" i="1" s="1"/>
  <c r="I89" i="1"/>
  <c r="I88" i="1" s="1"/>
  <c r="I87" i="1" s="1"/>
  <c r="I85" i="1"/>
  <c r="I84" i="1" s="1"/>
  <c r="I83" i="1" s="1"/>
  <c r="I73" i="1"/>
  <c r="I71" i="1"/>
  <c r="I68" i="1"/>
  <c r="I67" i="1" s="1"/>
  <c r="I65" i="1"/>
  <c r="I63" i="1"/>
  <c r="I57" i="1"/>
  <c r="I53" i="1" s="1"/>
  <c r="H57" i="1"/>
  <c r="H53" i="1" s="1"/>
  <c r="H49" i="1" s="1"/>
  <c r="I50" i="1"/>
  <c r="I47" i="1"/>
  <c r="I46" i="1" s="1"/>
  <c r="E47" i="1"/>
  <c r="D47" i="1"/>
  <c r="E46" i="1"/>
  <c r="D46" i="1"/>
  <c r="C47" i="1"/>
  <c r="C46" i="1" s="1"/>
  <c r="I44" i="1"/>
  <c r="I42" i="1"/>
  <c r="I39" i="1"/>
  <c r="I36" i="1"/>
  <c r="I34" i="1"/>
  <c r="I32" i="1"/>
  <c r="I25" i="1"/>
  <c r="I21" i="1"/>
  <c r="I19" i="1"/>
  <c r="I17" i="1"/>
  <c r="I15" i="1"/>
  <c r="I49" i="1" l="1"/>
  <c r="I14" i="1"/>
  <c r="I13" i="1" s="1"/>
  <c r="I70" i="1"/>
  <c r="I41" i="1"/>
  <c r="I38" i="1" s="1"/>
  <c r="I62" i="1"/>
  <c r="I61" i="1" s="1"/>
  <c r="I222" i="1" l="1"/>
  <c r="G220" i="1"/>
  <c r="G219" i="1" s="1"/>
  <c r="G216" i="1"/>
  <c r="G215" i="1" s="1"/>
  <c r="G214" i="1" s="1"/>
  <c r="G213" i="1" s="1"/>
  <c r="G211" i="1"/>
  <c r="G210" i="1" s="1"/>
  <c r="G208" i="1"/>
  <c r="G207" i="1" s="1"/>
  <c r="G203" i="1"/>
  <c r="G201" i="1"/>
  <c r="G199" i="1"/>
  <c r="G197" i="1"/>
  <c r="G194" i="1"/>
  <c r="G192" i="1"/>
  <c r="G188" i="1"/>
  <c r="G186" i="1"/>
  <c r="G185" i="1"/>
  <c r="G184" i="1" s="1"/>
  <c r="G182" i="1"/>
  <c r="G181" i="1"/>
  <c r="G180" i="1" s="1"/>
  <c r="G178" i="1"/>
  <c r="G177" i="1" s="1"/>
  <c r="G174" i="1"/>
  <c r="G173" i="1" s="1"/>
  <c r="G168" i="1"/>
  <c r="G167" i="1" s="1"/>
  <c r="G166" i="1"/>
  <c r="G165" i="1" s="1"/>
  <c r="G158" i="1"/>
  <c r="G157" i="1" s="1"/>
  <c r="G156" i="1"/>
  <c r="G155" i="1" s="1"/>
  <c r="G152" i="1"/>
  <c r="G151" i="1" s="1"/>
  <c r="G149" i="1"/>
  <c r="G148" i="1" s="1"/>
  <c r="G154" i="1"/>
  <c r="G153" i="1" s="1"/>
  <c r="G147" i="1"/>
  <c r="G146" i="1" s="1"/>
  <c r="G145" i="1" s="1"/>
  <c r="E141" i="1"/>
  <c r="D141" i="1"/>
  <c r="C141" i="1"/>
  <c r="G142" i="1"/>
  <c r="G141" i="1" s="1"/>
  <c r="G138" i="1" s="1"/>
  <c r="G139" i="1"/>
  <c r="G121" i="1"/>
  <c r="G136" i="1"/>
  <c r="G131" i="1"/>
  <c r="G128" i="1"/>
  <c r="E128" i="1"/>
  <c r="D128" i="1"/>
  <c r="C128" i="1"/>
  <c r="E121" i="1"/>
  <c r="D121" i="1"/>
  <c r="C121" i="1"/>
  <c r="G124" i="1"/>
  <c r="G119" i="1"/>
  <c r="G117" i="1"/>
  <c r="G114" i="1"/>
  <c r="G112" i="1"/>
  <c r="G110" i="1"/>
  <c r="G108" i="1"/>
  <c r="G104" i="1"/>
  <c r="G106" i="1"/>
  <c r="G102" i="1"/>
  <c r="G100" i="1"/>
  <c r="G98" i="1"/>
  <c r="G96" i="1"/>
  <c r="G92" i="1"/>
  <c r="G91" i="1" s="1"/>
  <c r="G89" i="1"/>
  <c r="G88" i="1" s="1"/>
  <c r="G85" i="1"/>
  <c r="G84" i="1" s="1"/>
  <c r="G83" i="1" s="1"/>
  <c r="E73" i="1"/>
  <c r="D73" i="1"/>
  <c r="C73" i="1"/>
  <c r="G71" i="1"/>
  <c r="G73" i="1"/>
  <c r="G82" i="1"/>
  <c r="G81" i="1"/>
  <c r="G80" i="1"/>
  <c r="G78" i="1"/>
  <c r="G77" i="1"/>
  <c r="G95" i="1" l="1"/>
  <c r="G79" i="1"/>
  <c r="G70" i="1"/>
  <c r="G130" i="1"/>
  <c r="G76" i="1"/>
  <c r="G75" i="1" s="1"/>
  <c r="G87" i="1"/>
  <c r="G68" i="1"/>
  <c r="G67" i="1" s="1"/>
  <c r="G65" i="1"/>
  <c r="G63" i="1"/>
  <c r="G57" i="1"/>
  <c r="G53" i="1" s="1"/>
  <c r="G50" i="1"/>
  <c r="G44" i="1"/>
  <c r="G42" i="1"/>
  <c r="G39" i="1"/>
  <c r="G25" i="1"/>
  <c r="G28" i="1"/>
  <c r="G36" i="1"/>
  <c r="G34" i="1"/>
  <c r="G31" i="1"/>
  <c r="G22" i="1"/>
  <c r="G21" i="1" s="1"/>
  <c r="G20" i="1"/>
  <c r="G19" i="1" s="1"/>
  <c r="G18" i="1"/>
  <c r="G17" i="1" s="1"/>
  <c r="G16" i="1"/>
  <c r="G15" i="1" s="1"/>
  <c r="E8" i="1"/>
  <c r="D8" i="1"/>
  <c r="G12" i="1"/>
  <c r="G8" i="1" s="1"/>
  <c r="G7" i="1" s="1"/>
  <c r="G144" i="1" l="1"/>
  <c r="G143" i="1" s="1"/>
  <c r="G94" i="1"/>
  <c r="G49" i="1"/>
  <c r="G14" i="1"/>
  <c r="G13" i="1" s="1"/>
  <c r="G62" i="1"/>
  <c r="G61" i="1" s="1"/>
  <c r="G41" i="1"/>
  <c r="G38" i="1" s="1"/>
  <c r="G24" i="1"/>
  <c r="G23" i="1" s="1"/>
  <c r="G6" i="1" l="1"/>
  <c r="G222" i="1" s="1"/>
  <c r="D124" i="1" l="1"/>
  <c r="D123" i="1" s="1"/>
  <c r="C124" i="1"/>
  <c r="C123" i="1" s="1"/>
  <c r="F218" i="1"/>
  <c r="F217" i="1"/>
  <c r="F212" i="1"/>
  <c r="F204" i="1"/>
  <c r="F202" i="1"/>
  <c r="F200" i="1"/>
  <c r="F193" i="1"/>
  <c r="F187" i="1"/>
  <c r="F168" i="1"/>
  <c r="F164" i="1"/>
  <c r="F162" i="1"/>
  <c r="F160" i="1"/>
  <c r="F154" i="1"/>
  <c r="F137" i="1"/>
  <c r="F135" i="1"/>
  <c r="F134" i="1"/>
  <c r="F132" i="1"/>
  <c r="F120" i="1"/>
  <c r="F118" i="1"/>
  <c r="F115" i="1"/>
  <c r="F113" i="1"/>
  <c r="F111" i="1"/>
  <c r="F109" i="1"/>
  <c r="F107" i="1"/>
  <c r="F103" i="1"/>
  <c r="F101" i="1"/>
  <c r="F99" i="1"/>
  <c r="F97" i="1"/>
  <c r="E53" i="1"/>
  <c r="E42" i="1"/>
  <c r="E41" i="1" s="1"/>
  <c r="E39" i="1"/>
  <c r="E25" i="1"/>
  <c r="E24" i="1" s="1"/>
  <c r="E14" i="1"/>
  <c r="E13" i="1" s="1"/>
  <c r="E7" i="1"/>
  <c r="D220" i="1"/>
  <c r="C220" i="1"/>
  <c r="D219" i="1"/>
  <c r="C219" i="1"/>
  <c r="D208" i="1"/>
  <c r="C208" i="1"/>
  <c r="D207" i="1"/>
  <c r="C207" i="1"/>
  <c r="E151" i="1"/>
  <c r="E150" i="1" s="1"/>
  <c r="E144" i="1" s="1"/>
  <c r="E143" i="1" s="1"/>
  <c r="E139" i="1"/>
  <c r="E138" i="1" s="1"/>
  <c r="E104" i="1"/>
  <c r="E95" i="1" s="1"/>
  <c r="E94" i="1" s="1"/>
  <c r="F93" i="1"/>
  <c r="F86" i="1"/>
  <c r="F82" i="1"/>
  <c r="F81" i="1"/>
  <c r="F80" i="1"/>
  <c r="F78" i="1"/>
  <c r="F77" i="1"/>
  <c r="F72" i="1"/>
  <c r="F66" i="1"/>
  <c r="F64" i="1"/>
  <c r="F60" i="1"/>
  <c r="F59" i="1"/>
  <c r="F58" i="1"/>
  <c r="F56" i="1"/>
  <c r="F55" i="1"/>
  <c r="F52" i="1"/>
  <c r="F51" i="1"/>
  <c r="D68" i="1"/>
  <c r="D67" i="1" s="1"/>
  <c r="C68" i="1"/>
  <c r="C67" i="1" s="1"/>
  <c r="F9" i="1"/>
  <c r="F10" i="1"/>
  <c r="F11" i="1"/>
  <c r="F16" i="1"/>
  <c r="F18" i="1"/>
  <c r="F20" i="1"/>
  <c r="F22" i="1"/>
  <c r="F26" i="1"/>
  <c r="F29" i="1"/>
  <c r="F30" i="1"/>
  <c r="F32" i="1"/>
  <c r="F35" i="1"/>
  <c r="F37" i="1"/>
  <c r="F40" i="1"/>
  <c r="F43" i="1"/>
  <c r="F45" i="1"/>
  <c r="C216" i="1"/>
  <c r="C215" i="1" s="1"/>
  <c r="C214" i="1" s="1"/>
  <c r="C213" i="1" s="1"/>
  <c r="C211" i="1"/>
  <c r="C210" i="1" s="1"/>
  <c r="C197" i="1"/>
  <c r="C203" i="1"/>
  <c r="C201" i="1"/>
  <c r="C199" i="1"/>
  <c r="C194" i="1"/>
  <c r="C192" i="1"/>
  <c r="C188" i="1"/>
  <c r="C186" i="1"/>
  <c r="C184" i="1"/>
  <c r="C182" i="1"/>
  <c r="C180" i="1"/>
  <c r="C177" i="1"/>
  <c r="C173" i="1"/>
  <c r="C171" i="1"/>
  <c r="C165" i="1"/>
  <c r="C167" i="1"/>
  <c r="C163" i="1"/>
  <c r="C161" i="1"/>
  <c r="C159" i="1"/>
  <c r="C157" i="1"/>
  <c r="C155" i="1"/>
  <c r="C152" i="1"/>
  <c r="C151" i="1" s="1"/>
  <c r="C153" i="1"/>
  <c r="C148" i="1"/>
  <c r="C146" i="1"/>
  <c r="C136" i="1"/>
  <c r="C133" i="1"/>
  <c r="C131" i="1"/>
  <c r="C119" i="1"/>
  <c r="C117" i="1"/>
  <c r="C114" i="1"/>
  <c r="C112" i="1"/>
  <c r="C110" i="1"/>
  <c r="C108" i="1"/>
  <c r="C106" i="1"/>
  <c r="C104" i="1"/>
  <c r="C102" i="1"/>
  <c r="C100" i="1"/>
  <c r="C98" i="1"/>
  <c r="C96" i="1"/>
  <c r="C139" i="1"/>
  <c r="C138" i="1" s="1"/>
  <c r="C92" i="1"/>
  <c r="C91" i="1" s="1"/>
  <c r="C89" i="1"/>
  <c r="C88" i="1" s="1"/>
  <c r="C85" i="1"/>
  <c r="C84" i="1" s="1"/>
  <c r="C83" i="1" s="1"/>
  <c r="C81" i="1"/>
  <c r="C80" i="1"/>
  <c r="C78" i="1"/>
  <c r="C77" i="1"/>
  <c r="C71" i="1"/>
  <c r="C70" i="1" s="1"/>
  <c r="C65" i="1"/>
  <c r="C63" i="1"/>
  <c r="C57" i="1"/>
  <c r="C53" i="1" s="1"/>
  <c r="C50" i="1"/>
  <c r="C44" i="1"/>
  <c r="C42" i="1"/>
  <c r="C39" i="1"/>
  <c r="C36" i="1"/>
  <c r="C34" i="1"/>
  <c r="C31" i="1"/>
  <c r="C28" i="1"/>
  <c r="C25" i="1"/>
  <c r="C21" i="1"/>
  <c r="C19" i="1"/>
  <c r="C17" i="1"/>
  <c r="C15" i="1"/>
  <c r="C11" i="1"/>
  <c r="C10" i="1"/>
  <c r="C8" i="1" l="1"/>
  <c r="C130" i="1"/>
  <c r="C179" i="1"/>
  <c r="C196" i="1"/>
  <c r="C41" i="1"/>
  <c r="C95" i="1"/>
  <c r="C94" i="1" s="1"/>
  <c r="C145" i="1"/>
  <c r="E23" i="1"/>
  <c r="C7" i="1"/>
  <c r="C24" i="1"/>
  <c r="C23" i="1" s="1"/>
  <c r="C38" i="1"/>
  <c r="E38" i="1"/>
  <c r="E49" i="1"/>
  <c r="C49" i="1"/>
  <c r="C79" i="1"/>
  <c r="C76" i="1" s="1"/>
  <c r="C75" i="1" s="1"/>
  <c r="C87" i="1"/>
  <c r="C150" i="1"/>
  <c r="C14" i="1"/>
  <c r="C13" i="1" s="1"/>
  <c r="C62" i="1"/>
  <c r="C61" i="1" s="1"/>
  <c r="E6" i="1" l="1"/>
  <c r="E222" i="1" s="1"/>
  <c r="C144" i="1"/>
  <c r="C143" i="1" s="1"/>
  <c r="C6" i="1"/>
  <c r="C222" i="1" s="1"/>
  <c r="D211" i="1" l="1"/>
  <c r="D216" i="1"/>
  <c r="D215" i="1" l="1"/>
  <c r="F216" i="1"/>
  <c r="D210" i="1"/>
  <c r="F210" i="1" s="1"/>
  <c r="F211" i="1"/>
  <c r="D136" i="1"/>
  <c r="F136" i="1" s="1"/>
  <c r="D131" i="1"/>
  <c r="F131" i="1" s="1"/>
  <c r="D133" i="1"/>
  <c r="F133" i="1" s="1"/>
  <c r="D119" i="1"/>
  <c r="F119" i="1" s="1"/>
  <c r="D79" i="1"/>
  <c r="F79" i="1" s="1"/>
  <c r="D21" i="1"/>
  <c r="F21" i="1" s="1"/>
  <c r="D19" i="1"/>
  <c r="F19" i="1" s="1"/>
  <c r="D17" i="1"/>
  <c r="F17" i="1" s="1"/>
  <c r="D15" i="1"/>
  <c r="F15" i="1" s="1"/>
  <c r="D214" i="1" l="1"/>
  <c r="F215" i="1"/>
  <c r="D14" i="1"/>
  <c r="F14" i="1" s="1"/>
  <c r="D76" i="1"/>
  <c r="F76" i="1" s="1"/>
  <c r="D130" i="1"/>
  <c r="F130" i="1" s="1"/>
  <c r="D198" i="1"/>
  <c r="F198" i="1" s="1"/>
  <c r="D178" i="1"/>
  <c r="F178" i="1" s="1"/>
  <c r="D189" i="1"/>
  <c r="F189" i="1" s="1"/>
  <c r="D181" i="1"/>
  <c r="F181" i="1" s="1"/>
  <c r="D174" i="1"/>
  <c r="F174" i="1" s="1"/>
  <c r="D158" i="1"/>
  <c r="F158" i="1" s="1"/>
  <c r="D156" i="1"/>
  <c r="F156" i="1" s="1"/>
  <c r="D147" i="1"/>
  <c r="F147" i="1" s="1"/>
  <c r="D149" i="1"/>
  <c r="F149" i="1" s="1"/>
  <c r="D203" i="1"/>
  <c r="F203" i="1" s="1"/>
  <c r="D75" i="1" l="1"/>
  <c r="F75" i="1" s="1"/>
  <c r="D213" i="1"/>
  <c r="F213" i="1" s="1"/>
  <c r="F214" i="1"/>
  <c r="D177" i="1"/>
  <c r="F177" i="1" s="1"/>
  <c r="D197" i="1" l="1"/>
  <c r="F197" i="1" s="1"/>
  <c r="D199" i="1"/>
  <c r="F199" i="1" s="1"/>
  <c r="D188" i="1"/>
  <c r="F188" i="1" s="1"/>
  <c r="D166" i="1"/>
  <c r="D148" i="1"/>
  <c r="F148" i="1" s="1"/>
  <c r="D165" i="1" l="1"/>
  <c r="F165" i="1" s="1"/>
  <c r="F166" i="1"/>
  <c r="D195" i="1" l="1"/>
  <c r="F195" i="1" s="1"/>
  <c r="D183" i="1" l="1"/>
  <c r="F183" i="1" s="1"/>
  <c r="D172" i="1" l="1"/>
  <c r="F172" i="1" s="1"/>
  <c r="D185" i="1" l="1"/>
  <c r="F185" i="1" s="1"/>
  <c r="D152" i="1" l="1"/>
  <c r="D171" i="1" l="1"/>
  <c r="F171" i="1" s="1"/>
  <c r="D153" i="1"/>
  <c r="F153" i="1" s="1"/>
  <c r="D163" i="1" l="1"/>
  <c r="F163" i="1" s="1"/>
  <c r="D201" i="1" l="1"/>
  <c r="D173" i="1"/>
  <c r="F173" i="1" s="1"/>
  <c r="D159" i="1"/>
  <c r="F159" i="1" s="1"/>
  <c r="D157" i="1"/>
  <c r="F157" i="1" s="1"/>
  <c r="D155" i="1"/>
  <c r="F155" i="1" s="1"/>
  <c r="D65" i="1"/>
  <c r="F65" i="1" s="1"/>
  <c r="D196" i="1" l="1"/>
  <c r="F196" i="1" s="1"/>
  <c r="F201" i="1"/>
  <c r="D117" i="1"/>
  <c r="F117" i="1" s="1"/>
  <c r="D114" i="1"/>
  <c r="F114" i="1" s="1"/>
  <c r="D112" i="1"/>
  <c r="F112" i="1" s="1"/>
  <c r="D110" i="1"/>
  <c r="F110" i="1" s="1"/>
  <c r="D108" i="1"/>
  <c r="F108" i="1" s="1"/>
  <c r="D106" i="1"/>
  <c r="F106" i="1" s="1"/>
  <c r="D104" i="1"/>
  <c r="D102" i="1"/>
  <c r="F102" i="1" s="1"/>
  <c r="D100" i="1"/>
  <c r="F100" i="1" s="1"/>
  <c r="D98" i="1"/>
  <c r="F98" i="1" s="1"/>
  <c r="D96" i="1"/>
  <c r="F96" i="1" s="1"/>
  <c r="D95" i="1" l="1"/>
  <c r="D94" i="1" l="1"/>
  <c r="F94" i="1" s="1"/>
  <c r="F95" i="1"/>
  <c r="F8" i="1" l="1"/>
  <c r="D151" i="1" l="1"/>
  <c r="D194" i="1" l="1"/>
  <c r="F194" i="1" s="1"/>
  <c r="D192" i="1"/>
  <c r="F192" i="1" s="1"/>
  <c r="D186" i="1"/>
  <c r="F186" i="1" s="1"/>
  <c r="D184" i="1"/>
  <c r="F184" i="1" s="1"/>
  <c r="D182" i="1"/>
  <c r="F182" i="1" s="1"/>
  <c r="D180" i="1"/>
  <c r="F180" i="1" s="1"/>
  <c r="D167" i="1"/>
  <c r="F167" i="1" s="1"/>
  <c r="D161" i="1"/>
  <c r="F161" i="1" s="1"/>
  <c r="D146" i="1"/>
  <c r="D145" i="1" l="1"/>
  <c r="F145" i="1" s="1"/>
  <c r="F146" i="1"/>
  <c r="D150" i="1"/>
  <c r="F150" i="1" s="1"/>
  <c r="D179" i="1"/>
  <c r="F179" i="1" s="1"/>
  <c r="D144" i="1" l="1"/>
  <c r="D44" i="1"/>
  <c r="F44" i="1" s="1"/>
  <c r="D39" i="1"/>
  <c r="F39" i="1" s="1"/>
  <c r="D13" i="1"/>
  <c r="F13" i="1" s="1"/>
  <c r="D89" i="1"/>
  <c r="D88" i="1" s="1"/>
  <c r="D92" i="1"/>
  <c r="D85" i="1"/>
  <c r="D139" i="1"/>
  <c r="D138" i="1" s="1"/>
  <c r="D57" i="1"/>
  <c r="D50" i="1"/>
  <c r="F50" i="1" s="1"/>
  <c r="D71" i="1"/>
  <c r="D63" i="1"/>
  <c r="D7" i="1"/>
  <c r="F7" i="1" s="1"/>
  <c r="D42" i="1"/>
  <c r="F42" i="1" s="1"/>
  <c r="D28" i="1"/>
  <c r="F28" i="1" s="1"/>
  <c r="D36" i="1"/>
  <c r="F36" i="1" s="1"/>
  <c r="D34" i="1"/>
  <c r="F34" i="1" s="1"/>
  <c r="D31" i="1"/>
  <c r="F31" i="1" s="1"/>
  <c r="D25" i="1"/>
  <c r="D62" i="1" l="1"/>
  <c r="F62" i="1" s="1"/>
  <c r="F63" i="1"/>
  <c r="D24" i="1"/>
  <c r="F24" i="1" s="1"/>
  <c r="F25" i="1"/>
  <c r="D53" i="1"/>
  <c r="F53" i="1" s="1"/>
  <c r="F57" i="1"/>
  <c r="D143" i="1"/>
  <c r="F143" i="1" s="1"/>
  <c r="F144" i="1"/>
  <c r="D70" i="1"/>
  <c r="F70" i="1" s="1"/>
  <c r="F71" i="1"/>
  <c r="D91" i="1"/>
  <c r="F91" i="1" s="1"/>
  <c r="F92" i="1"/>
  <c r="D84" i="1"/>
  <c r="F85" i="1"/>
  <c r="D41" i="1"/>
  <c r="D49" i="1" l="1"/>
  <c r="F49" i="1" s="1"/>
  <c r="D23" i="1"/>
  <c r="F23" i="1" s="1"/>
  <c r="D38" i="1"/>
  <c r="F38" i="1" s="1"/>
  <c r="F41" i="1"/>
  <c r="D83" i="1"/>
  <c r="F83" i="1" s="1"/>
  <c r="F84" i="1"/>
  <c r="D87" i="1"/>
  <c r="F87" i="1" s="1"/>
  <c r="D61" i="1"/>
  <c r="F61" i="1" s="1"/>
  <c r="D6" i="1" l="1"/>
  <c r="F6" i="1" s="1"/>
  <c r="D222" i="1" l="1"/>
  <c r="F222" i="1" s="1"/>
</calcChain>
</file>

<file path=xl/sharedStrings.xml><?xml version="1.0" encoding="utf-8"?>
<sst xmlns="http://schemas.openxmlformats.org/spreadsheetml/2006/main" count="458" uniqueCount="452">
  <si>
    <t>Наименование показателя</t>
  </si>
  <si>
    <t>(в руб.)</t>
  </si>
  <si>
    <t>Код дохода по бюджетной классификации</t>
  </si>
  <si>
    <t>1</t>
  </si>
  <si>
    <t>2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</si>
  <si>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</si>
  <si>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</si>
  <si>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</si>
  <si>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</si>
  <si>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</si>
  <si>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</si>
  <si>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</si>
  <si>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</si>
  <si>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</si>
  <si>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</si>
  <si>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</si>
  <si>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</si>
  <si>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</si>
  <si>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</si>
  <si>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</si>
  <si>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</si>
  <si>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</si>
  <si>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</si>
  <si>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</si>
  <si>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</si>
  <si>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</si>
  <si>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</si>
  <si>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</si>
  <si>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</si>
  <si>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</si>
  <si>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</si>
  <si>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</si>
  <si>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</si>
  <si>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</si>
  <si>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</si>
  <si>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</si>
  <si>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</si>
  <si>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</si>
  <si>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</si>
  <si>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</si>
  <si>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</si>
  <si>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</si>
  <si>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</si>
  <si>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</si>
  <si>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</si>
  <si>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</si>
  <si>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</si>
  <si>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</si>
  <si>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</si>
  <si>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</si>
  <si>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</si>
  <si>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</si>
  <si>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</si>
  <si>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</si>
  <si>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</si>
  <si>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</si>
  <si>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</si>
  <si>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</si>
  <si>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</si>
  <si>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</si>
  <si>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</si>
  <si>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</si>
  <si>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</si>
  <si>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</si>
  <si>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</si>
  <si>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</si>
  <si>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</si>
  <si>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</si>
  <si>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</si>
  <si>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</si>
  <si>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</si>
  <si>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</si>
  <si>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</si>
  <si>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</si>
  <si>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</si>
  <si>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</si>
  <si>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</si>
  <si>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</si>
  <si>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</si>
  <si>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</si>
  <si>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</si>
  <si>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</si>
  <si>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</si>
  <si>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</si>
  <si>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</si>
  <si>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</si>
  <si>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</si>
  <si>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</si>
  <si>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</si>
  <si>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</si>
  <si>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</si>
  <si>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</si>
  <si>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</si>
  <si>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</si>
  <si>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</si>
  <si>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</si>
  <si>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</si>
  <si>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</si>
  <si>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</si>
  <si>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</si>
  <si>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</si>
  <si>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</si>
  <si>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</si>
  <si>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</si>
  <si>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</si>
  <si>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</si>
  <si>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</si>
  <si>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</si>
  <si>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</si>
  <si>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</si>
  <si>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</si>
  <si>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</si>
  <si>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</si>
  <si>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</si>
  <si>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</si>
  <si>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</si>
  <si>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</si>
  <si>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</si>
  <si>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</si>
  <si>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</si>
  <si>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</si>
  <si>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</si>
  <si>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</si>
  <si>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</si>
  <si>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</si>
  <si>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</si>
  <si>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</si>
  <si>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</si>
  <si>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</si>
  <si>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</si>
  <si>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</si>
  <si>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</si>
  <si>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</si>
  <si>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</si>
  <si>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</si>
  <si>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</si>
  <si>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</si>
  <si>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</si>
  <si>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</si>
  <si>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</si>
  <si>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</si>
  <si>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</si>
  <si>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</si>
  <si>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</si>
  <si>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</si>
  <si>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</si>
  <si>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</si>
  <si>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</si>
  <si>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</si>
  <si>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</si>
  <si>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</si>
  <si>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</si>
  <si>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</si>
  <si>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</si>
  <si>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00010807100010000110</t>
  </si>
  <si>
    <t>00010807020010000110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</si>
  <si>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</si>
  <si>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</si>
  <si>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</si>
  <si>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</si>
  <si>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</si>
  <si>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</si>
  <si>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</si>
  <si>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</si>
  <si>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00010807140010000110</t>
  </si>
  <si>
    <t>00011201041010000120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</si>
  <si>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</si>
  <si>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00010807010010000110</t>
  </si>
  <si>
    <t>00011201040010000120</t>
  </si>
  <si>
    <t>Плата за размещение отходов производства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</si>
  <si>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</si>
  <si>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</si>
  <si>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X</t>
  </si>
  <si>
    <t>00020210000000000150</t>
  </si>
  <si>
    <t>00020215001000000150</t>
  </si>
  <si>
    <t>00020215001040000150</t>
  </si>
  <si>
    <t>00020220000000000150</t>
  </si>
  <si>
    <t>00020225497000000150</t>
  </si>
  <si>
    <t>00020225497040000150</t>
  </si>
  <si>
    <t>00020225097000000150</t>
  </si>
  <si>
    <t>00020225097040000150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</si>
  <si>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</si>
  <si>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</si>
  <si>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</si>
  <si>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</si>
  <si>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00020229999040000150</t>
  </si>
  <si>
    <t>00020229999000000150</t>
  </si>
  <si>
    <t>00020230024040000150</t>
  </si>
  <si>
    <t>00020230024000000150</t>
  </si>
  <si>
    <t>00020230000000000150</t>
  </si>
  <si>
    <t>00020230029040000150</t>
  </si>
  <si>
    <t>00020230029000000150</t>
  </si>
  <si>
    <t>00020235082000000150</t>
  </si>
  <si>
    <t>00020235082040000150</t>
  </si>
  <si>
    <t>00020235120000000150</t>
  </si>
  <si>
    <t>00020235120040000150</t>
  </si>
  <si>
    <t>00020235260000000150</t>
  </si>
  <si>
    <t>00020235260040000150</t>
  </si>
  <si>
    <t>00020235930000000150</t>
  </si>
  <si>
    <t>00020235930040000150</t>
  </si>
  <si>
    <t>00020239998000000150</t>
  </si>
  <si>
    <t>00020239998040000150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</si>
  <si>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</si>
  <si>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00011201042010000120</t>
  </si>
  <si>
    <t>Плата за размещение твердых коммунальных отходов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</si>
  <si>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</si>
  <si>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</si>
  <si>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00010302241010000110</t>
  </si>
  <si>
    <t>00010302251010000110</t>
  </si>
  <si>
    <t>00010302261010000110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</si>
  <si>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</si>
  <si>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</si>
  <si>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</si>
  <si>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</si>
  <si>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обще-ственную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</si>
  <si>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</si>
  <si>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</si>
  <si>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</si>
  <si>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</si>
  <si>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</si>
  <si>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</si>
  <si>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</si>
  <si>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</si>
  <si>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</si>
  <si>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</si>
  <si>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</si>
  <si>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</si>
  <si>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</si>
  <si>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</si>
  <si>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</si>
  <si>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</si>
  <si>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00011601063010000140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</si>
  <si>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</si>
  <si>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</si>
  <si>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</si>
  <si>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</si>
  <si>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</si>
  <si>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00011601133010000140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</si>
  <si>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</si>
  <si>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</si>
  <si>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00011601083010000140</t>
  </si>
  <si>
    <t>00011601103010000140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</si>
  <si>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</si>
  <si>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</si>
  <si>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00011601143010000140</t>
  </si>
  <si>
    <t>00011601150010000140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</si>
  <si>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</si>
  <si>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</si>
  <si>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</si>
  <si>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</si>
  <si>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00011601173010000140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</si>
  <si>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</si>
  <si>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</si>
  <si>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</si>
  <si>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00011601203010000140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</si>
  <si>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</si>
  <si>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</si>
  <si>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</si>
  <si>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</si>
  <si>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00020220299000000150</t>
  </si>
  <si>
    <t>00020220299040000150</t>
  </si>
  <si>
    <t>00020220077000000150</t>
  </si>
  <si>
    <t>00020220077040000150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</si>
  <si>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</si>
  <si>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</si>
  <si>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</si>
  <si>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00020220302040000150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</si>
  <si>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</si>
  <si>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</si>
  <si>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</si>
  <si>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00020225027000000150</t>
  </si>
  <si>
    <t>00020225027040000150</t>
  </si>
  <si>
    <t>00020225555000000150</t>
  </si>
  <si>
    <t>00020225555040000150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</si>
  <si>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</si>
  <si>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</si>
  <si>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Иные межбюджетные трансферты</t>
  </si>
  <si>
    <t>00020240000000000150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</si>
  <si>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</si>
  <si>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</si>
  <si>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</si>
  <si>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00020245393040000150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</si>
  <si>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</si>
  <si>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</si>
  <si>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городских округов на создание виртуальных концертных залов</t>
  </si>
  <si>
    <t>00020245453040000150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</si>
  <si>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</si>
  <si>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00011601053010000140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</si>
  <si>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</si>
  <si>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</si>
  <si>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00020225228040000150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</si>
  <si>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</si>
  <si>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</si>
  <si>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</si>
  <si>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00020215002000000150</t>
  </si>
  <si>
    <t>00020215002040000150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</si>
  <si>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</si>
  <si>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</si>
  <si>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00020220216000000150</t>
  </si>
  <si>
    <t>00020220216040000150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</si>
  <si>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</si>
  <si>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</si>
  <si>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00020225519000000150</t>
  </si>
  <si>
    <t>00020225519040000150</t>
  </si>
  <si>
    <t>Доходы бюджета - ИТОГО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</si>
  <si>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</si>
  <si>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</si>
  <si>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</t>
  </si>
  <si>
    <t>00011610120000000140</t>
  </si>
  <si>
    <t>Платежи в целях возмещения причиненного ущерба (убытков)</t>
  </si>
  <si>
    <t>00011600000000000140</t>
  </si>
  <si>
    <t>00020225304040000150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</si>
  <si>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</si>
  <si>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</si>
  <si>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</si>
  <si>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</si>
  <si>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</si>
  <si>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00020245454040000150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</si>
  <si>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</si>
  <si>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</si>
  <si>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</si>
  <si>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00020245303000000150</t>
  </si>
  <si>
    <t>00020245303040000150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</si>
  <si>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</si>
  <si>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</si>
  <si>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00010807310010000110</t>
  </si>
  <si>
    <t>Государственная пошлина за повторную выдачу свидетельства о постановке на учет в налоговом органе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</si>
  <si>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</si>
  <si>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</si>
  <si>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</si>
  <si>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</si>
  <si>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00011601330010000140</t>
  </si>
  <si>
    <t>00011610129010000140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</si>
  <si>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</si>
  <si>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</si>
  <si>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</si>
  <si>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</si>
  <si>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</si>
  <si>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</si>
  <si>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</si>
  <si>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</si>
  <si>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00011611000010000140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</si>
  <si>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</si>
  <si>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</si>
  <si>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</si>
  <si>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</si>
  <si>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</si>
  <si>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</si>
  <si>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00021800000000000000</t>
  </si>
  <si>
    <t>00021800000000000150</t>
  </si>
  <si>
    <t>00021800000040000150</t>
  </si>
  <si>
    <t>00021804020040000150</t>
  </si>
  <si>
    <t>00021804010040000150</t>
  </si>
  <si>
    <t>00021804000040000150</t>
  </si>
  <si>
    <t>ПРОЧИЕ БЕЗВОЗМЕЗДНЫЕ ПОСТУПЛЕНИЯ</t>
  </si>
  <si>
    <t>Прочие безвозмездные поступления в бюджеты городских округов</t>
  </si>
  <si>
    <t>00020704000040000150</t>
  </si>
  <si>
    <t>00020700000000000000</t>
  </si>
  <si>
    <t>00020704050040000150</t>
  </si>
  <si>
    <t>Исполнено</t>
  </si>
  <si>
    <t xml:space="preserve">%% исполне-ния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</si>
  <si>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</si>
  <si>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</si>
  <si>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</si>
  <si>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</si>
  <si>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</si>
  <si>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</si>
  <si>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</si>
  <si>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</si>
  <si>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</si>
  <si>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</si>
  <si>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</si>
  <si>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</si>
  <si>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</si>
  <si>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</si>
  <si>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</si>
  <si>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Первоначально утвержденный бюджет </t>
  </si>
  <si>
    <t xml:space="preserve">Утвержденный бюджет с учетом изменений </t>
  </si>
  <si>
    <t>Налог на доходы физических лиц части суммы налога, превышающей 650 000 рублей, относя-щейся к части налоговой базы, превышающей 5 000 000 рублей</t>
  </si>
  <si>
    <t>00010102080010000110</t>
  </si>
  <si>
    <t>Ожидаемое исполнение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</si>
  <si>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</si>
  <si>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</si>
  <si>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00011607010040000140</t>
  </si>
  <si>
    <t>00011607010000000140</t>
  </si>
  <si>
    <t>00011607000000000140</t>
  </si>
  <si>
    <t>00011601194010000140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</si>
  <si>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</si>
  <si>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</si>
  <si>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</si>
  <si>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</si>
  <si>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00011602000020000140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</si>
  <si>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</si>
  <si>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</si>
  <si>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Инициативные платежи</t>
  </si>
  <si>
    <t>Инициативные платежи, зачисляемые в бюджеты городских округов</t>
  </si>
  <si>
    <t>00011715000000000150</t>
  </si>
  <si>
    <t>00011715020040000150</t>
  </si>
  <si>
    <t>НАЛОГИ, СБОРЫ И РЕГУЛЯРНЫЕ ПЛАТЕЖИ ЗА ПОЛЬЗОВАНИЕ ПРИРОДНЫМИ РЕСУРСАМИ</t>
  </si>
  <si>
    <t>Сборы за пользование объектами животного мира и за пользование объектами водных биологических ресурсов</t>
  </si>
  <si>
    <t>Сбор за пользование объектами животного мира</t>
  </si>
  <si>
    <t>00010700000000000000</t>
  </si>
  <si>
    <t>00010704000010000110</t>
  </si>
  <si>
    <t>00010704010010000110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</si>
  <si>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</si>
  <si>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</si>
  <si>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</si>
  <si>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</si>
  <si>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</si>
  <si>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</si>
  <si>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</si>
  <si>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</si>
  <si>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</si>
  <si>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</si>
  <si>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Факт на 01.12.2021</t>
  </si>
  <si>
    <t>2022 год</t>
  </si>
  <si>
    <t>2023 год</t>
  </si>
  <si>
    <t>2024 год</t>
  </si>
  <si>
    <t>Проект бюджета на 2022 год и на плановый период 2023 и 2024 годов</t>
  </si>
  <si>
    <t>00010501012010000110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</si>
  <si>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</si>
  <si>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</si>
  <si>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00020225576040000150</t>
  </si>
  <si>
    <t>00020225576000000150</t>
  </si>
  <si>
    <t>00020235469040000150</t>
  </si>
  <si>
    <t>00020235469000000150</t>
  </si>
  <si>
    <t>00020404099040000150</t>
  </si>
  <si>
    <t>00020404000040000150</t>
  </si>
  <si>
    <t>00020400000000000000</t>
  </si>
  <si>
    <t>00020249999000000150</t>
  </si>
  <si>
    <t>00020249999040000150</t>
  </si>
  <si>
    <t xml:space="preserve"> Анализ утвержденных бюджетных назначений и исполнения доходной части к проекту бюджета Гайского городского округа на 2022 год и на плановый период 2023 и 2024 годов</t>
  </si>
  <si>
    <t>00010502020020000110</t>
  </si>
  <si>
    <t>00011105300000000120</t>
  </si>
  <si>
    <t>00011105310000000120</t>
  </si>
  <si>
    <t>00011105312040000120</t>
  </si>
  <si>
    <t>00011109080000000120</t>
  </si>
  <si>
    <t>00011109080040000120</t>
  </si>
  <si>
    <t>00011607090000000140</t>
  </si>
  <si>
    <t>00011607090040000140</t>
  </si>
  <si>
    <t>00011609000000000140</t>
  </si>
  <si>
    <t>000116 09040040000140</t>
  </si>
  <si>
    <t>00021900000000000000</t>
  </si>
  <si>
    <t>00021900000040000150</t>
  </si>
  <si>
    <t>00021960010040000150</t>
  </si>
  <si>
    <t>Соотношение показателей проекта бюджета на 2022 год</t>
  </si>
  <si>
    <t>к 2020 году (факт)</t>
  </si>
  <si>
    <t>к 2021 году (оценка)</t>
  </si>
  <si>
    <t>Субсидии бюджетам на проведение комплексных кадастровых работ</t>
  </si>
  <si>
    <t>Субсидии бюджетам городских округов на проведение комплексных кадастровых работ</t>
  </si>
  <si>
    <t>00020225511000000150</t>
  </si>
  <si>
    <t>00020225511040000150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</si>
</sst>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##,##0.00"/>
    <numFmt numFmtId="165" formatCode="#,##0.0"/>
  </numFmts>
  <fonts count="11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8">
    <xf numFmtId="0" fontId="0" fillId="0" borderId="0" xfId="0"/>
    <xf numFmtId="0" fontId="2" fillId="0" borderId="0" xfId="0" applyFont="1" applyAlignment="1"/>
    <xf numFmtId="0" fontId="0" fillId="0" borderId="0" xfId="0" applyAlignment="1"/>
    <xf numFmtId="4" fontId="2" fillId="0" borderId="0" xfId="0" applyNumberFormat="1" applyFont="1" applyAlignment="1"/>
    <xf numFmtId="165" fontId="2" fillId="0" borderId="0" xfId="0" applyNumberFormat="1" applyFont="1" applyAlignment="1"/>
    <xf numFmtId="165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/>
    <xf numFmtId="4" fontId="8" fillId="0" borderId="1" xfId="0" applyNumberFormat="1" applyFont="1" applyBorder="1" applyAlignment="1"/>
    <xf numFmtId="164" fontId="2" fillId="0" borderId="0" xfId="0" applyNumberFormat="1" applyFont="1" applyFill="1" applyAlignment="1">
      <alignment horizontal="center" wrapText="1"/>
    </xf>
    <xf numFmtId="0" fontId="0" fillId="0" borderId="0" xfId="0" applyFill="1" applyAlignment="1"/>
    <xf numFmtId="0" fontId="10" fillId="0" borderId="0" xfId="0" applyFont="1" applyFill="1" applyAlignment="1">
      <alignment horizontal="right"/>
    </xf>
    <xf numFmtId="165" fontId="5" fillId="0" borderId="1" xfId="0" applyNumberFormat="1" applyFont="1" applyBorder="1" applyAlignment="1"/>
    <xf numFmtId="165" fontId="5" fillId="0" borderId="3" xfId="0" applyNumberFormat="1" applyFont="1" applyBorder="1" applyAlignment="1"/>
    <xf numFmtId="4" fontId="5" fillId="0" borderId="3" xfId="0" applyNumberFormat="1" applyFont="1" applyFill="1" applyBorder="1" applyAlignment="1"/>
    <xf numFmtId="4" fontId="5" fillId="0" borderId="3" xfId="0" applyNumberFormat="1" applyFont="1" applyBorder="1" applyAlignment="1"/>
    <xf numFmtId="165" fontId="5" fillId="0" borderId="3" xfId="0" applyNumberFormat="1" applyFont="1" applyFill="1" applyBorder="1" applyAlignment="1"/>
    <xf numFmtId="0" fontId="2" fillId="0" borderId="0" xfId="0" applyFont="1" applyBorder="1" applyAlignment="1"/>
    <xf numFmtId="4" fontId="8" fillId="0" borderId="3" xfId="0" applyNumberFormat="1" applyFont="1" applyBorder="1" applyAlignment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164" fontId="5" fillId="0" borderId="5" xfId="0" applyNumberFormat="1" applyFont="1" applyFill="1" applyBorder="1" applyAlignment="1">
      <alignment horizontal="left" wrapText="1"/>
    </xf>
    <xf numFmtId="164" fontId="6" fillId="0" borderId="5" xfId="0" applyNumberFormat="1" applyFont="1" applyBorder="1" applyAlignment="1">
      <alignment horizontal="left" wrapText="1"/>
    </xf>
    <xf numFmtId="164" fontId="5" fillId="0" borderId="5" xfId="0" applyNumberFormat="1" applyFont="1" applyBorder="1" applyAlignment="1">
      <alignment horizontal="left" wrapText="1"/>
    </xf>
    <xf numFmtId="164" fontId="9" fillId="0" borderId="5" xfId="0" applyNumberFormat="1" applyFont="1" applyBorder="1" applyAlignment="1">
      <alignment horizontal="left" wrapText="1"/>
    </xf>
    <xf numFmtId="4" fontId="5" fillId="0" borderId="3" xfId="0" applyNumberFormat="1" applyFont="1" applyBorder="1" applyAlignment="1">
      <alignment wrapText="1"/>
    </xf>
    <xf numFmtId="164" fontId="8" fillId="0" borderId="8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left" wrapText="1"/>
    </xf>
    <xf numFmtId="4" fontId="0" fillId="0" borderId="0" xfId="0" applyNumberFormat="1" applyAlignment="1"/>
    <xf numFmtId="164" fontId="5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/>
    <xf numFmtId="165" fontId="5" fillId="0" borderId="21" xfId="0" applyNumberFormat="1" applyFont="1" applyFill="1" applyBorder="1" applyAlignment="1"/>
    <xf numFmtId="4" fontId="5" fillId="0" borderId="21" xfId="0" applyNumberFormat="1" applyFont="1" applyBorder="1" applyAlignment="1"/>
    <xf numFmtId="164" fontId="5" fillId="0" borderId="21" xfId="0" applyNumberFormat="1" applyFont="1" applyBorder="1" applyAlignment="1">
      <alignment wrapText="1"/>
    </xf>
    <xf numFmtId="4" fontId="8" fillId="0" borderId="21" xfId="0" applyNumberFormat="1" applyFont="1" applyFill="1" applyBorder="1" applyAlignment="1"/>
    <xf numFmtId="4" fontId="8" fillId="0" borderId="21" xfId="0" applyNumberFormat="1" applyFont="1" applyBorder="1" applyAlignment="1"/>
    <xf numFmtId="2" fontId="5" fillId="0" borderId="4" xfId="0" applyNumberFormat="1" applyFont="1" applyBorder="1" applyAlignment="1"/>
    <xf numFmtId="2" fontId="8" fillId="0" borderId="4" xfId="0" applyNumberFormat="1" applyFont="1" applyBorder="1" applyAlignment="1"/>
    <xf numFmtId="10" fontId="5" fillId="0" borderId="7" xfId="0" applyNumberFormat="1" applyFont="1" applyBorder="1" applyAlignment="1"/>
    <xf numFmtId="164" fontId="8" fillId="0" borderId="3" xfId="0" applyNumberFormat="1" applyFont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165" fontId="5" fillId="0" borderId="3" xfId="0" applyNumberFormat="1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/>
    <xf numFmtId="10" fontId="5" fillId="2" borderId="14" xfId="0" applyNumberFormat="1" applyFont="1" applyFill="1" applyBorder="1" applyAlignment="1"/>
    <xf numFmtId="10" fontId="8" fillId="0" borderId="7" xfId="0" applyNumberFormat="1" applyFont="1" applyBorder="1" applyAlignment="1"/>
    <xf numFmtId="10" fontId="8" fillId="0" borderId="22" xfId="0" applyNumberFormat="1" applyFont="1" applyBorder="1" applyAlignment="1"/>
    <xf numFmtId="0" fontId="4" fillId="0" borderId="0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wrapText="1"/>
    </xf>
    <xf numFmtId="164" fontId="8" fillId="0" borderId="7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4" fontId="8" fillId="0" borderId="7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165" fontId="5" fillId="0" borderId="7" xfId="0" applyNumberFormat="1" applyFont="1" applyFill="1" applyBorder="1" applyAlignment="1"/>
    <xf numFmtId="4" fontId="5" fillId="0" borderId="7" xfId="0" applyNumberFormat="1" applyFont="1" applyBorder="1" applyAlignment="1"/>
    <xf numFmtId="4" fontId="8" fillId="0" borderId="7" xfId="0" applyNumberFormat="1" applyFont="1" applyFill="1" applyBorder="1" applyAlignment="1"/>
    <xf numFmtId="4" fontId="8" fillId="0" borderId="7" xfId="0" applyNumberFormat="1" applyFont="1" applyBorder="1" applyAlignment="1"/>
    <xf numFmtId="164" fontId="5" fillId="0" borderId="1" xfId="0" applyNumberFormat="1" applyFont="1" applyFill="1" applyBorder="1" applyAlignment="1">
      <alignment wrapText="1"/>
    </xf>
    <xf numFmtId="165" fontId="5" fillId="0" borderId="7" xfId="0" applyNumberFormat="1" applyFont="1" applyBorder="1" applyAlignment="1"/>
    <xf numFmtId="39" fontId="5" fillId="0" borderId="1" xfId="0" applyNumberFormat="1" applyFont="1" applyBorder="1" applyAlignment="1"/>
    <xf numFmtId="4" fontId="5" fillId="2" borderId="11" xfId="0" applyNumberFormat="1" applyFont="1" applyFill="1" applyBorder="1" applyAlignment="1">
      <alignment wrapText="1"/>
    </xf>
    <xf numFmtId="4" fontId="5" fillId="2" borderId="12" xfId="0" applyNumberFormat="1" applyFont="1" applyFill="1" applyBorder="1" applyAlignment="1">
      <alignment wrapText="1"/>
    </xf>
    <xf numFmtId="4" fontId="5" fillId="2" borderId="19" xfId="0" applyNumberFormat="1" applyFont="1" applyFill="1" applyBorder="1" applyAlignment="1">
      <alignment wrapText="1"/>
    </xf>
    <xf numFmtId="164" fontId="6" fillId="2" borderId="12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wrapText="1"/>
    </xf>
    <xf numFmtId="4" fontId="8" fillId="0" borderId="9" xfId="0" applyNumberFormat="1" applyFont="1" applyBorder="1" applyAlignment="1">
      <alignment wrapText="1"/>
    </xf>
    <xf numFmtId="4" fontId="8" fillId="0" borderId="2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164" fontId="8" fillId="0" borderId="20" xfId="0" applyNumberFormat="1" applyFont="1" applyBorder="1" applyAlignment="1">
      <alignment wrapText="1"/>
    </xf>
    <xf numFmtId="164" fontId="9" fillId="0" borderId="2" xfId="0" applyNumberFormat="1" applyFont="1" applyBorder="1" applyAlignment="1">
      <alignment wrapText="1"/>
    </xf>
    <xf numFmtId="164" fontId="8" fillId="0" borderId="2" xfId="0" applyNumberFormat="1" applyFont="1" applyBorder="1" applyAlignment="1">
      <alignment wrapText="1"/>
    </xf>
    <xf numFmtId="164" fontId="8" fillId="0" borderId="9" xfId="0" applyNumberFormat="1" applyFont="1" applyBorder="1" applyAlignment="1">
      <alignment wrapText="1"/>
    </xf>
    <xf numFmtId="164" fontId="8" fillId="0" borderId="22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164" fontId="8" fillId="0" borderId="2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4" fontId="8" fillId="0" borderId="3" xfId="0" applyNumberFormat="1" applyFont="1" applyFill="1" applyBorder="1" applyAlignment="1">
      <alignment wrapText="1"/>
    </xf>
    <xf numFmtId="4" fontId="8" fillId="0" borderId="21" xfId="0" applyNumberFormat="1" applyFont="1" applyFill="1" applyBorder="1" applyAlignment="1">
      <alignment wrapText="1"/>
    </xf>
    <xf numFmtId="4" fontId="8" fillId="0" borderId="7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>
      <alignment wrapText="1"/>
    </xf>
    <xf numFmtId="4" fontId="5" fillId="0" borderId="21" xfId="0" applyNumberFormat="1" applyFont="1" applyFill="1" applyBorder="1" applyAlignment="1">
      <alignment wrapText="1"/>
    </xf>
    <xf numFmtId="4" fontId="5" fillId="0" borderId="7" xfId="0" applyNumberFormat="1" applyFont="1" applyFill="1" applyBorder="1" applyAlignment="1">
      <alignment wrapText="1"/>
    </xf>
    <xf numFmtId="164" fontId="6" fillId="0" borderId="7" xfId="0" applyNumberFormat="1" applyFont="1" applyBorder="1" applyAlignment="1">
      <alignment wrapText="1"/>
    </xf>
    <xf numFmtId="4" fontId="5" fillId="0" borderId="21" xfId="0" applyNumberFormat="1" applyFont="1" applyBorder="1" applyAlignment="1">
      <alignment wrapText="1"/>
    </xf>
    <xf numFmtId="164" fontId="9" fillId="0" borderId="21" xfId="0" applyNumberFormat="1" applyFont="1" applyBorder="1" applyAlignment="1">
      <alignment wrapText="1"/>
    </xf>
    <xf numFmtId="164" fontId="9" fillId="0" borderId="7" xfId="0" applyNumberFormat="1" applyFont="1" applyBorder="1" applyAlignment="1">
      <alignment wrapText="1"/>
    </xf>
    <xf numFmtId="164" fontId="6" fillId="0" borderId="2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164" fontId="5" fillId="0" borderId="21" xfId="0" applyNumberFormat="1" applyFont="1" applyFill="1" applyBorder="1" applyAlignment="1">
      <alignment wrapText="1"/>
    </xf>
    <xf numFmtId="164" fontId="5" fillId="0" borderId="3" xfId="0" applyNumberFormat="1" applyFont="1" applyFill="1" applyBorder="1" applyAlignment="1">
      <alignment wrapText="1"/>
    </xf>
    <xf numFmtId="164" fontId="5" fillId="0" borderId="7" xfId="0" applyNumberFormat="1" applyFont="1" applyFill="1" applyBorder="1" applyAlignment="1">
      <alignment wrapText="1"/>
    </xf>
    <xf numFmtId="4" fontId="8" fillId="0" borderId="21" xfId="0" applyNumberFormat="1" applyFont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9" fillId="0" borderId="3" xfId="0" applyNumberFormat="1" applyFont="1" applyBorder="1" applyAlignment="1">
      <alignment wrapText="1"/>
    </xf>
    <xf numFmtId="165" fontId="5" fillId="0" borderId="24" xfId="0" applyNumberFormat="1" applyFont="1" applyFill="1" applyBorder="1" applyAlignment="1"/>
    <xf numFmtId="165" fontId="5" fillId="0" borderId="27" xfId="0" applyNumberFormat="1" applyFont="1" applyFill="1" applyBorder="1" applyAlignment="1"/>
    <xf numFmtId="2" fontId="5" fillId="0" borderId="25" xfId="0" applyNumberFormat="1" applyFont="1" applyBorder="1" applyAlignment="1"/>
    <xf numFmtId="164" fontId="5" fillId="0" borderId="28" xfId="0" applyNumberFormat="1" applyFont="1" applyBorder="1" applyAlignment="1">
      <alignment wrapText="1"/>
    </xf>
    <xf numFmtId="164" fontId="6" fillId="0" borderId="27" xfId="0" applyNumberFormat="1" applyFont="1" applyBorder="1" applyAlignment="1">
      <alignment wrapText="1"/>
    </xf>
    <xf numFmtId="10" fontId="5" fillId="0" borderId="29" xfId="0" applyNumberFormat="1" applyFont="1" applyBorder="1" applyAlignment="1"/>
    <xf numFmtId="164" fontId="5" fillId="0" borderId="24" xfId="0" applyNumberFormat="1" applyFont="1" applyBorder="1" applyAlignment="1">
      <alignment wrapText="1"/>
    </xf>
    <xf numFmtId="164" fontId="5" fillId="0" borderId="27" xfId="0" applyNumberFormat="1" applyFont="1" applyBorder="1" applyAlignment="1">
      <alignment wrapText="1"/>
    </xf>
    <xf numFmtId="4" fontId="5" fillId="0" borderId="29" xfId="0" applyNumberFormat="1" applyFont="1" applyBorder="1" applyAlignment="1"/>
    <xf numFmtId="4" fontId="8" fillId="0" borderId="9" xfId="0" applyNumberFormat="1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" fontId="8" fillId="0" borderId="22" xfId="0" applyNumberFormat="1" applyFont="1" applyFill="1" applyBorder="1" applyAlignment="1">
      <alignment wrapText="1"/>
    </xf>
    <xf numFmtId="164" fontId="5" fillId="2" borderId="23" xfId="0" applyNumberFormat="1" applyFont="1" applyFill="1" applyBorder="1" applyAlignment="1">
      <alignment horizontal="left" wrapText="1"/>
    </xf>
    <xf numFmtId="2" fontId="8" fillId="0" borderId="10" xfId="0" applyNumberFormat="1" applyFont="1" applyBorder="1" applyAlignment="1"/>
    <xf numFmtId="164" fontId="6" fillId="0" borderId="30" xfId="0" applyNumberFormat="1" applyFont="1" applyBorder="1" applyAlignment="1">
      <alignment horizontal="left" wrapText="1"/>
    </xf>
    <xf numFmtId="4" fontId="5" fillId="0" borderId="24" xfId="0" applyNumberFormat="1" applyFont="1" applyBorder="1" applyAlignment="1"/>
    <xf numFmtId="4" fontId="5" fillId="0" borderId="27" xfId="0" applyNumberFormat="1" applyFont="1" applyBorder="1" applyAlignment="1"/>
    <xf numFmtId="4" fontId="5" fillId="0" borderId="28" xfId="0" applyNumberFormat="1" applyFont="1" applyBorder="1" applyAlignment="1"/>
    <xf numFmtId="4" fontId="8" fillId="0" borderId="11" xfId="0" applyNumberFormat="1" applyFont="1" applyBorder="1" applyAlignment="1"/>
    <xf numFmtId="4" fontId="8" fillId="0" borderId="12" xfId="0" applyNumberFormat="1" applyFont="1" applyBorder="1" applyAlignment="1"/>
    <xf numFmtId="2" fontId="8" fillId="0" borderId="13" xfId="0" applyNumberFormat="1" applyFont="1" applyBorder="1" applyAlignment="1"/>
    <xf numFmtId="4" fontId="8" fillId="0" borderId="19" xfId="0" applyNumberFormat="1" applyFont="1" applyBorder="1" applyAlignment="1"/>
    <xf numFmtId="10" fontId="8" fillId="0" borderId="14" xfId="0" applyNumberFormat="1" applyFont="1" applyBorder="1" applyAlignment="1"/>
    <xf numFmtId="4" fontId="8" fillId="0" borderId="14" xfId="0" applyNumberFormat="1" applyFont="1" applyBorder="1" applyAlignment="1"/>
    <xf numFmtId="164" fontId="2" fillId="0" borderId="31" xfId="0" applyNumberFormat="1" applyFont="1" applyFill="1" applyBorder="1" applyAlignment="1">
      <alignment horizontal="center" wrapText="1"/>
    </xf>
    <xf numFmtId="164" fontId="2" fillId="0" borderId="32" xfId="0" applyNumberFormat="1" applyFont="1" applyFill="1" applyBorder="1" applyAlignment="1">
      <alignment horizontal="center" wrapText="1"/>
    </xf>
    <xf numFmtId="164" fontId="5" fillId="0" borderId="33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10" fontId="5" fillId="2" borderId="31" xfId="0" applyNumberFormat="1" applyFont="1" applyFill="1" applyBorder="1" applyAlignment="1"/>
    <xf numFmtId="10" fontId="8" fillId="0" borderId="34" xfId="0" applyNumberFormat="1" applyFont="1" applyBorder="1" applyAlignment="1"/>
    <xf numFmtId="10" fontId="5" fillId="0" borderId="18" xfId="0" applyNumberFormat="1" applyFont="1" applyBorder="1" applyAlignment="1"/>
    <xf numFmtId="10" fontId="8" fillId="0" borderId="18" xfId="0" applyNumberFormat="1" applyFont="1" applyBorder="1" applyAlignment="1"/>
    <xf numFmtId="10" fontId="5" fillId="0" borderId="26" xfId="0" applyNumberFormat="1" applyFont="1" applyBorder="1" applyAlignment="1"/>
    <xf numFmtId="10" fontId="5" fillId="0" borderId="16" xfId="0" applyNumberFormat="1" applyFont="1" applyBorder="1" applyAlignment="1"/>
    <xf numFmtId="10" fontId="8" fillId="0" borderId="31" xfId="0" applyNumberFormat="1" applyFont="1" applyBorder="1" applyAlignment="1"/>
    <xf numFmtId="164" fontId="5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10" fontId="5" fillId="2" borderId="23" xfId="0" applyNumberFormat="1" applyFont="1" applyFill="1" applyBorder="1" applyAlignment="1"/>
    <xf numFmtId="10" fontId="8" fillId="0" borderId="8" xfId="0" applyNumberFormat="1" applyFont="1" applyBorder="1" applyAlignment="1"/>
    <xf numFmtId="10" fontId="5" fillId="0" borderId="5" xfId="0" applyNumberFormat="1" applyFont="1" applyBorder="1" applyAlignment="1"/>
    <xf numFmtId="10" fontId="8" fillId="0" borderId="5" xfId="0" applyNumberFormat="1" applyFont="1" applyBorder="1" applyAlignment="1"/>
    <xf numFmtId="10" fontId="5" fillId="0" borderId="30" xfId="0" applyNumberFormat="1" applyFont="1" applyBorder="1" applyAlignment="1"/>
    <xf numFmtId="10" fontId="5" fillId="0" borderId="6" xfId="0" applyNumberFormat="1" applyFont="1" applyBorder="1" applyAlignment="1"/>
    <xf numFmtId="10" fontId="8" fillId="0" borderId="23" xfId="0" applyNumberFormat="1" applyFont="1" applyBorder="1" applyAlignment="1"/>
    <xf numFmtId="164" fontId="8" fillId="0" borderId="3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wrapText="1"/>
    </xf>
    <xf numFmtId="164" fontId="8" fillId="0" borderId="35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wrapText="1"/>
    </xf>
    <xf numFmtId="49" fontId="5" fillId="2" borderId="23" xfId="0" applyNumberFormat="1" applyFont="1" applyFill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 wrapText="1"/>
    </xf>
    <xf numFmtId="164" fontId="8" fillId="0" borderId="23" xfId="0" applyNumberFormat="1" applyFont="1" applyBorder="1" applyAlignment="1">
      <alignment horizontal="center" wrapText="1"/>
    </xf>
    <xf numFmtId="164" fontId="8" fillId="0" borderId="3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35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Border="1" applyAlignment="1">
      <alignment vertical="top" wrapText="1"/>
    </xf>
    <xf numFmtId="164" fontId="6" fillId="0" borderId="5" xfId="0" applyNumberFormat="1" applyFont="1" applyBorder="1" applyAlignment="1">
      <alignment horizontal="left" vertical="center" wrapText="1"/>
    </xf>
    <xf numFmtId="164" fontId="5" fillId="0" borderId="30" xfId="0" applyNumberFormat="1" applyFont="1" applyBorder="1" applyAlignment="1">
      <alignment horizontal="left" wrapText="1"/>
    </xf>
    <xf numFmtId="164" fontId="8" fillId="0" borderId="23" xfId="0" applyNumberFormat="1" applyFont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8"/>
  <sheetViews>
    <sheetView tabSelected="1" zoomScale="140" zoomScaleNormal="140" workbookViewId="0">
      <selection sqref="A1:P1"/>
    </sheetView>
  </sheetViews>
  <sheetFormatPr defaultColWidth="8.7109375" defaultRowHeight="12.75" x14ac:dyDescent="0.2"/>
  <cols>
    <col min="1" max="1" width="43.85546875" style="2" customWidth="1"/>
    <col min="2" max="2" width="20.5703125" style="2" bestFit="1" customWidth="1"/>
    <col min="3" max="4" width="13.140625" style="2" bestFit="1" customWidth="1"/>
    <col min="5" max="5" width="13.140625" style="2" customWidth="1"/>
    <col min="6" max="6" width="7.140625" style="2" bestFit="1" customWidth="1"/>
    <col min="7" max="10" width="13.140625" style="2" bestFit="1" customWidth="1"/>
    <col min="11" max="11" width="7.85546875" style="2" bestFit="1" customWidth="1"/>
    <col min="12" max="14" width="13.140625" style="2" bestFit="1" customWidth="1"/>
    <col min="15" max="16" width="9.140625" style="2" bestFit="1" customWidth="1"/>
    <col min="17" max="16384" width="8.7109375" style="2"/>
  </cols>
  <sheetData>
    <row r="1" spans="1:16" ht="15.75" x14ac:dyDescent="0.2">
      <c r="A1" s="69" t="s">
        <v>431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3.5" thickBot="1" x14ac:dyDescent="0.25">
      <c r="A2" s="10"/>
      <c r="B2" s="10"/>
      <c r="C2" s="10"/>
      <c r="D2" s="10"/>
      <c r="E2" s="11"/>
      <c r="F2" s="12"/>
      <c r="H2" s="30"/>
      <c r="M2" s="12"/>
      <c r="P2" s="12" t="s">
        <v>1</v>
      </c>
    </row>
    <row r="3" spans="1:16" ht="39.75" customHeight="1" thickBot="1" x14ac:dyDescent="0.25">
      <c r="A3" s="189" t="s">
        <v>0</v>
      </c>
      <c r="B3" s="171" t="s">
        <v>2</v>
      </c>
      <c r="C3" s="70" t="s">
        <v>157</v>
      </c>
      <c r="D3" s="71"/>
      <c r="E3" s="71"/>
      <c r="F3" s="72"/>
      <c r="G3" s="73" t="s">
        <v>160</v>
      </c>
      <c r="H3" s="71"/>
      <c r="I3" s="71"/>
      <c r="J3" s="71"/>
      <c r="K3" s="74"/>
      <c r="L3" s="41" t="s">
        <v>415</v>
      </c>
      <c r="M3" s="42" t="s">
        <v>416</v>
      </c>
      <c r="N3" s="77" t="s">
        <v>417</v>
      </c>
      <c r="O3" s="151" t="s">
        <v>445</v>
      </c>
      <c r="P3" s="152"/>
    </row>
    <row r="4" spans="1:16" ht="34.5" thickBot="1" x14ac:dyDescent="0.25">
      <c r="A4" s="190"/>
      <c r="B4" s="172"/>
      <c r="C4" s="55" t="s">
        <v>376</v>
      </c>
      <c r="D4" s="56" t="s">
        <v>377</v>
      </c>
      <c r="E4" s="57" t="s">
        <v>359</v>
      </c>
      <c r="F4" s="58" t="s">
        <v>360</v>
      </c>
      <c r="G4" s="59" t="s">
        <v>376</v>
      </c>
      <c r="H4" s="56" t="s">
        <v>377</v>
      </c>
      <c r="I4" s="57" t="s">
        <v>414</v>
      </c>
      <c r="J4" s="57" t="s">
        <v>380</v>
      </c>
      <c r="K4" s="60" t="s">
        <v>360</v>
      </c>
      <c r="L4" s="75" t="s">
        <v>418</v>
      </c>
      <c r="M4" s="76"/>
      <c r="N4" s="78"/>
      <c r="O4" s="153" t="s">
        <v>446</v>
      </c>
      <c r="P4" s="162" t="s">
        <v>447</v>
      </c>
    </row>
    <row r="5" spans="1:16" ht="13.5" thickBot="1" x14ac:dyDescent="0.25">
      <c r="A5" s="28" t="s">
        <v>3</v>
      </c>
      <c r="B5" s="28" t="s">
        <v>4</v>
      </c>
      <c r="C5" s="37">
        <v>3</v>
      </c>
      <c r="D5" s="38">
        <v>4</v>
      </c>
      <c r="E5" s="38">
        <v>5</v>
      </c>
      <c r="F5" s="39">
        <v>6</v>
      </c>
      <c r="G5" s="61">
        <v>7</v>
      </c>
      <c r="H5" s="62">
        <v>8</v>
      </c>
      <c r="I5" s="62">
        <v>9</v>
      </c>
      <c r="J5" s="62">
        <v>10</v>
      </c>
      <c r="K5" s="63">
        <v>11</v>
      </c>
      <c r="L5" s="64">
        <v>12</v>
      </c>
      <c r="M5" s="62">
        <v>13</v>
      </c>
      <c r="N5" s="63">
        <v>14</v>
      </c>
      <c r="O5" s="154">
        <v>15</v>
      </c>
      <c r="P5" s="163">
        <v>16</v>
      </c>
    </row>
    <row r="6" spans="1:16" ht="13.5" thickBot="1" x14ac:dyDescent="0.25">
      <c r="A6" s="29" t="s">
        <v>5</v>
      </c>
      <c r="B6" s="173" t="s">
        <v>6</v>
      </c>
      <c r="C6" s="91">
        <f>C7+C13+C23+C38+C49+C61+C75+C83+C87+C94+C138</f>
        <v>449063255</v>
      </c>
      <c r="D6" s="92">
        <f>D7+D13+D23+D38+D49+D61+D75+D83+D87+D94+D138</f>
        <v>452424229</v>
      </c>
      <c r="E6" s="92">
        <f>E7+E13+E23+E38+E49+E61+E75+E83+E87+E94+E138</f>
        <v>474254870.10000008</v>
      </c>
      <c r="F6" s="65">
        <f t="shared" ref="F6:F11" si="0">E6/D6*100</f>
        <v>104.8252590601199</v>
      </c>
      <c r="G6" s="93">
        <f>G7+G13+G23+G38+G49+G61+G75+G83+G87+G94+G138</f>
        <v>448825505</v>
      </c>
      <c r="H6" s="94">
        <v>478016608.26999998</v>
      </c>
      <c r="I6" s="92">
        <f>I7+I13+I23+I38+I46+I49+I61+I75+I83+I87+I94+I138</f>
        <v>488740818.35000008</v>
      </c>
      <c r="J6" s="92">
        <f>J7+J13+J23+J38+J46+J49+J61+J75+J83+J87+J94+J138</f>
        <v>506210301</v>
      </c>
      <c r="K6" s="66">
        <f>J6/H6</f>
        <v>1.0589805714743603</v>
      </c>
      <c r="L6" s="91">
        <f t="shared" ref="L6:N6" si="1">L7+L13+L23+L38+L49+L61+L75+L83+L87+L94+L138</f>
        <v>461249537</v>
      </c>
      <c r="M6" s="92">
        <f t="shared" si="1"/>
        <v>480545620</v>
      </c>
      <c r="N6" s="95">
        <f t="shared" si="1"/>
        <v>494735450.89999998</v>
      </c>
      <c r="O6" s="155">
        <f>L6/E6</f>
        <v>0.9725773335817135</v>
      </c>
      <c r="P6" s="164">
        <f>L6/J6</f>
        <v>0.91118164938330637</v>
      </c>
    </row>
    <row r="7" spans="1:16" x14ac:dyDescent="0.2">
      <c r="A7" s="191" t="s">
        <v>7</v>
      </c>
      <c r="B7" s="174" t="s">
        <v>8</v>
      </c>
      <c r="C7" s="96">
        <f t="shared" ref="C7:E7" si="2">C8</f>
        <v>283789500</v>
      </c>
      <c r="D7" s="97">
        <f t="shared" si="2"/>
        <v>272975000</v>
      </c>
      <c r="E7" s="97">
        <f t="shared" si="2"/>
        <v>288589494.52000004</v>
      </c>
      <c r="F7" s="98">
        <f t="shared" si="0"/>
        <v>105.72011888268158</v>
      </c>
      <c r="G7" s="99">
        <f>G8</f>
        <v>290400802</v>
      </c>
      <c r="H7" s="100">
        <v>294300802</v>
      </c>
      <c r="I7" s="101">
        <f>I8</f>
        <v>288497175.22000003</v>
      </c>
      <c r="J7" s="101">
        <f>J8</f>
        <v>299696120</v>
      </c>
      <c r="K7" s="68">
        <f>J7/H7</f>
        <v>1.0183326649582152</v>
      </c>
      <c r="L7" s="102">
        <f t="shared" ref="L7:N7" si="3">L8</f>
        <v>282405000</v>
      </c>
      <c r="M7" s="101">
        <f t="shared" si="3"/>
        <v>297405000</v>
      </c>
      <c r="N7" s="103">
        <f t="shared" si="3"/>
        <v>309218000</v>
      </c>
      <c r="O7" s="156">
        <f t="shared" ref="O7:O70" si="4">L7/E7</f>
        <v>0.97856992497150153</v>
      </c>
      <c r="P7" s="165">
        <f t="shared" ref="P7:P70" si="5">L7/J7</f>
        <v>0.94230449162972152</v>
      </c>
    </row>
    <row r="8" spans="1:16" x14ac:dyDescent="0.2">
      <c r="A8" s="22" t="s">
        <v>9</v>
      </c>
      <c r="B8" s="175" t="s">
        <v>10</v>
      </c>
      <c r="C8" s="40">
        <f t="shared" ref="C8:E8" si="6">C9+C10+C11+C12</f>
        <v>283789500</v>
      </c>
      <c r="D8" s="31">
        <f t="shared" si="6"/>
        <v>272975000</v>
      </c>
      <c r="E8" s="31">
        <f t="shared" si="6"/>
        <v>288589494.52000004</v>
      </c>
      <c r="F8" s="49">
        <f t="shared" si="0"/>
        <v>105.72011888268158</v>
      </c>
      <c r="G8" s="46">
        <f>G9+G10+G11+G12</f>
        <v>290400802</v>
      </c>
      <c r="H8" s="104">
        <v>294300802</v>
      </c>
      <c r="I8" s="31">
        <f>I9+I10+I11+I12</f>
        <v>288497175.22000003</v>
      </c>
      <c r="J8" s="104">
        <f>J9+J10+J11+J12</f>
        <v>299696120</v>
      </c>
      <c r="K8" s="51">
        <f>J8/H8</f>
        <v>1.0183326649582152</v>
      </c>
      <c r="L8" s="40">
        <f>L9+L10+L11+L12</f>
        <v>282405000</v>
      </c>
      <c r="M8" s="31">
        <f t="shared" ref="M8:N8" si="7">M9+M10+M11+M12</f>
        <v>297405000</v>
      </c>
      <c r="N8" s="79">
        <f t="shared" si="7"/>
        <v>309218000</v>
      </c>
      <c r="O8" s="157">
        <f t="shared" si="4"/>
        <v>0.97856992497150153</v>
      </c>
      <c r="P8" s="166">
        <f t="shared" si="5"/>
        <v>0.94230449162972152</v>
      </c>
    </row>
    <row r="9" spans="1:16" ht="56.25" x14ac:dyDescent="0.2">
      <c r="A9" s="22" t="s">
        <v>11</v>
      </c>
      <c r="B9" s="175" t="s">
        <v>12</v>
      </c>
      <c r="C9" s="14">
        <v>282231900</v>
      </c>
      <c r="D9" s="13">
        <v>272000000</v>
      </c>
      <c r="E9" s="104">
        <v>287425925.42000002</v>
      </c>
      <c r="F9" s="49">
        <f t="shared" si="0"/>
        <v>105.67129611029414</v>
      </c>
      <c r="G9" s="46">
        <v>289002130</v>
      </c>
      <c r="H9" s="31">
        <v>289002130</v>
      </c>
      <c r="I9" s="31">
        <v>272959869.97000003</v>
      </c>
      <c r="J9" s="105">
        <v>295144100</v>
      </c>
      <c r="K9" s="51">
        <f t="shared" ref="K9:K72" si="8">J9/H9</f>
        <v>1.0212523347146265</v>
      </c>
      <c r="L9" s="40">
        <v>277987000</v>
      </c>
      <c r="M9" s="31">
        <v>292752000</v>
      </c>
      <c r="N9" s="85">
        <v>304351000</v>
      </c>
      <c r="O9" s="157">
        <f t="shared" si="4"/>
        <v>0.96716049393871684</v>
      </c>
      <c r="P9" s="166">
        <f t="shared" si="5"/>
        <v>0.94186873462827136</v>
      </c>
    </row>
    <row r="10" spans="1:16" ht="90" x14ac:dyDescent="0.2">
      <c r="A10" s="22" t="s">
        <v>13</v>
      </c>
      <c r="B10" s="175" t="s">
        <v>14</v>
      </c>
      <c r="C10" s="54">
        <f>837650-5</f>
        <v>837645</v>
      </c>
      <c r="D10" s="13">
        <v>125000</v>
      </c>
      <c r="E10" s="104">
        <v>174020.73</v>
      </c>
      <c r="F10" s="49">
        <f t="shared" si="0"/>
        <v>139.21658400000001</v>
      </c>
      <c r="G10" s="46">
        <v>51488</v>
      </c>
      <c r="H10" s="31">
        <v>451488</v>
      </c>
      <c r="I10" s="31">
        <v>534931.63</v>
      </c>
      <c r="J10" s="105">
        <v>557460</v>
      </c>
      <c r="K10" s="51">
        <f t="shared" si="8"/>
        <v>1.2347172017860939</v>
      </c>
      <c r="L10" s="40">
        <v>570000</v>
      </c>
      <c r="M10" s="31">
        <v>593000</v>
      </c>
      <c r="N10" s="85">
        <v>607000</v>
      </c>
      <c r="O10" s="157">
        <f t="shared" si="4"/>
        <v>3.275471836027811</v>
      </c>
      <c r="P10" s="166">
        <f t="shared" si="5"/>
        <v>1.0224948875255624</v>
      </c>
    </row>
    <row r="11" spans="1:16" ht="33.75" x14ac:dyDescent="0.2">
      <c r="A11" s="22" t="s">
        <v>15</v>
      </c>
      <c r="B11" s="175" t="s">
        <v>16</v>
      </c>
      <c r="C11" s="54">
        <f>719960-5</f>
        <v>719955</v>
      </c>
      <c r="D11" s="13">
        <v>850000</v>
      </c>
      <c r="E11" s="104">
        <v>989548.37</v>
      </c>
      <c r="F11" s="49">
        <f t="shared" si="0"/>
        <v>116.41745529411764</v>
      </c>
      <c r="G11" s="46">
        <v>1327684</v>
      </c>
      <c r="H11" s="31">
        <v>1327684</v>
      </c>
      <c r="I11" s="31">
        <v>1126723.32</v>
      </c>
      <c r="J11" s="8">
        <v>1485560</v>
      </c>
      <c r="K11" s="51">
        <f t="shared" si="8"/>
        <v>1.1189108251662294</v>
      </c>
      <c r="L11" s="40">
        <v>1780000</v>
      </c>
      <c r="M11" s="31">
        <v>1852000</v>
      </c>
      <c r="N11" s="85">
        <v>1898000</v>
      </c>
      <c r="O11" s="157">
        <f t="shared" si="4"/>
        <v>1.7988003961847767</v>
      </c>
      <c r="P11" s="166">
        <f t="shared" si="5"/>
        <v>1.1982013516788281</v>
      </c>
    </row>
    <row r="12" spans="1:16" ht="33.75" x14ac:dyDescent="0.2">
      <c r="A12" s="24" t="s">
        <v>378</v>
      </c>
      <c r="B12" s="176" t="s">
        <v>379</v>
      </c>
      <c r="C12" s="54">
        <v>0</v>
      </c>
      <c r="D12" s="13">
        <v>0</v>
      </c>
      <c r="E12" s="104">
        <v>0</v>
      </c>
      <c r="F12" s="49"/>
      <c r="G12" s="46">
        <f>46455-26955</f>
        <v>19500</v>
      </c>
      <c r="H12" s="31">
        <v>3519500</v>
      </c>
      <c r="I12" s="31">
        <v>13875650.300000001</v>
      </c>
      <c r="J12" s="105">
        <v>2509000</v>
      </c>
      <c r="K12" s="51">
        <f t="shared" si="8"/>
        <v>0.7128853530331013</v>
      </c>
      <c r="L12" s="40">
        <v>2068000</v>
      </c>
      <c r="M12" s="31">
        <v>2208000</v>
      </c>
      <c r="N12" s="85">
        <v>2362000</v>
      </c>
      <c r="O12" s="157"/>
      <c r="P12" s="166">
        <f t="shared" si="5"/>
        <v>0.82423276205659624</v>
      </c>
    </row>
    <row r="13" spans="1:16" ht="32.25" x14ac:dyDescent="0.2">
      <c r="A13" s="192" t="s">
        <v>17</v>
      </c>
      <c r="B13" s="177" t="s">
        <v>18</v>
      </c>
      <c r="C13" s="53">
        <f t="shared" ref="C13:E13" si="9">C14</f>
        <v>15715455</v>
      </c>
      <c r="D13" s="106">
        <f t="shared" si="9"/>
        <v>13982990</v>
      </c>
      <c r="E13" s="106">
        <f t="shared" si="9"/>
        <v>14033878.800000001</v>
      </c>
      <c r="F13" s="50">
        <f t="shared" ref="F13:F26" si="10">E13/D13*100</f>
        <v>100.36393360790503</v>
      </c>
      <c r="G13" s="107">
        <f>G14</f>
        <v>15843856</v>
      </c>
      <c r="H13" s="108">
        <v>15843856</v>
      </c>
      <c r="I13" s="32">
        <f>I14</f>
        <v>14714869.799999999</v>
      </c>
      <c r="J13" s="108">
        <f>J14</f>
        <v>15843856</v>
      </c>
      <c r="K13" s="67">
        <f t="shared" si="8"/>
        <v>1</v>
      </c>
      <c r="L13" s="52">
        <f>L14</f>
        <v>16511940</v>
      </c>
      <c r="M13" s="32">
        <f t="shared" ref="M13:N13" si="11">M14</f>
        <v>16909970</v>
      </c>
      <c r="N13" s="80">
        <f t="shared" si="11"/>
        <v>17266800</v>
      </c>
      <c r="O13" s="158">
        <f t="shared" si="4"/>
        <v>1.1765770700542175</v>
      </c>
      <c r="P13" s="167">
        <f t="shared" si="5"/>
        <v>1.0421667553656131</v>
      </c>
    </row>
    <row r="14" spans="1:16" ht="22.5" x14ac:dyDescent="0.2">
      <c r="A14" s="22" t="s">
        <v>19</v>
      </c>
      <c r="B14" s="175" t="s">
        <v>20</v>
      </c>
      <c r="C14" s="26">
        <f t="shared" ref="C14:E14" si="12">C15+C17+C19+C21</f>
        <v>15715455</v>
      </c>
      <c r="D14" s="13">
        <f t="shared" si="12"/>
        <v>13982990</v>
      </c>
      <c r="E14" s="13">
        <f t="shared" si="12"/>
        <v>14033878.800000001</v>
      </c>
      <c r="F14" s="49">
        <f t="shared" si="10"/>
        <v>100.36393360790503</v>
      </c>
      <c r="G14" s="46">
        <f>G15+G17+G19+G21</f>
        <v>15843856</v>
      </c>
      <c r="H14" s="104">
        <v>15843856</v>
      </c>
      <c r="I14" s="31">
        <f>I15+I17+I19+I21</f>
        <v>14714869.799999999</v>
      </c>
      <c r="J14" s="104">
        <f>J15+J17+J19+J21</f>
        <v>15843856</v>
      </c>
      <c r="K14" s="51">
        <f t="shared" si="8"/>
        <v>1</v>
      </c>
      <c r="L14" s="40">
        <f>L15+L17+L19+L21</f>
        <v>16511940</v>
      </c>
      <c r="M14" s="31">
        <f t="shared" ref="M14:N14" si="13">M15+M17+M19+M21</f>
        <v>16909970</v>
      </c>
      <c r="N14" s="79">
        <f t="shared" si="13"/>
        <v>17266800</v>
      </c>
      <c r="O14" s="157">
        <f t="shared" si="4"/>
        <v>1.1765770700542175</v>
      </c>
      <c r="P14" s="166">
        <f t="shared" si="5"/>
        <v>1.0421667553656131</v>
      </c>
    </row>
    <row r="15" spans="1:16" ht="56.25" x14ac:dyDescent="0.2">
      <c r="A15" s="22" t="s">
        <v>202</v>
      </c>
      <c r="B15" s="175" t="s">
        <v>21</v>
      </c>
      <c r="C15" s="16">
        <f>C16</f>
        <v>7201371</v>
      </c>
      <c r="D15" s="13">
        <f>D16</f>
        <v>6400000</v>
      </c>
      <c r="E15" s="104">
        <v>6472954.7300000004</v>
      </c>
      <c r="F15" s="49">
        <f t="shared" si="10"/>
        <v>101.13991765625001</v>
      </c>
      <c r="G15" s="46">
        <f>G16</f>
        <v>7274932</v>
      </c>
      <c r="H15" s="104">
        <v>7274932</v>
      </c>
      <c r="I15" s="104">
        <f>I16</f>
        <v>6744672.2300000004</v>
      </c>
      <c r="J15" s="104">
        <f>J16</f>
        <v>7274932</v>
      </c>
      <c r="K15" s="51">
        <f t="shared" si="8"/>
        <v>1</v>
      </c>
      <c r="L15" s="40">
        <f>L16</f>
        <v>7465560</v>
      </c>
      <c r="M15" s="31">
        <f>M16</f>
        <v>7565480</v>
      </c>
      <c r="N15" s="85">
        <f>N16</f>
        <v>7602350</v>
      </c>
      <c r="O15" s="157">
        <f t="shared" si="4"/>
        <v>1.1533465490496331</v>
      </c>
      <c r="P15" s="166">
        <f t="shared" si="5"/>
        <v>1.0262034064373384</v>
      </c>
    </row>
    <row r="16" spans="1:16" ht="90" x14ac:dyDescent="0.2">
      <c r="A16" s="22" t="s">
        <v>205</v>
      </c>
      <c r="B16" s="178" t="s">
        <v>206</v>
      </c>
      <c r="C16" s="16">
        <v>7201371</v>
      </c>
      <c r="D16" s="13">
        <v>6400000</v>
      </c>
      <c r="E16" s="104">
        <v>6472954.7300000004</v>
      </c>
      <c r="F16" s="49">
        <f t="shared" si="10"/>
        <v>101.13991765625001</v>
      </c>
      <c r="G16" s="45">
        <f>0+7274932</f>
        <v>7274932</v>
      </c>
      <c r="H16" s="104">
        <v>7274932</v>
      </c>
      <c r="I16" s="104">
        <v>6744672.2300000004</v>
      </c>
      <c r="J16" s="104">
        <v>7274932</v>
      </c>
      <c r="K16" s="51">
        <f t="shared" si="8"/>
        <v>1</v>
      </c>
      <c r="L16" s="16">
        <v>7465560</v>
      </c>
      <c r="M16" s="8">
        <v>7565480</v>
      </c>
      <c r="N16" s="85">
        <v>7602350</v>
      </c>
      <c r="O16" s="157">
        <f t="shared" si="4"/>
        <v>1.1533465490496331</v>
      </c>
      <c r="P16" s="166">
        <f t="shared" si="5"/>
        <v>1.0262034064373384</v>
      </c>
    </row>
    <row r="17" spans="1:16" ht="67.5" x14ac:dyDescent="0.2">
      <c r="A17" s="22" t="s">
        <v>22</v>
      </c>
      <c r="B17" s="175" t="s">
        <v>23</v>
      </c>
      <c r="C17" s="16">
        <f>C18</f>
        <v>37093</v>
      </c>
      <c r="D17" s="13">
        <f>D18</f>
        <v>42160</v>
      </c>
      <c r="E17" s="104">
        <v>46299.24</v>
      </c>
      <c r="F17" s="49">
        <f t="shared" si="10"/>
        <v>109.81793168880456</v>
      </c>
      <c r="G17" s="46">
        <f>G18</f>
        <v>41459</v>
      </c>
      <c r="H17" s="104">
        <v>41459</v>
      </c>
      <c r="I17" s="104">
        <f>I18</f>
        <v>47841.34</v>
      </c>
      <c r="J17" s="104">
        <f>J18</f>
        <v>41459</v>
      </c>
      <c r="K17" s="51">
        <f t="shared" si="8"/>
        <v>1</v>
      </c>
      <c r="L17" s="40">
        <f>L18</f>
        <v>41320</v>
      </c>
      <c r="M17" s="31">
        <f>M18</f>
        <v>42380</v>
      </c>
      <c r="N17" s="85">
        <f>N18</f>
        <v>43930</v>
      </c>
      <c r="O17" s="157">
        <f t="shared" si="4"/>
        <v>0.89245525412512172</v>
      </c>
      <c r="P17" s="166">
        <f t="shared" si="5"/>
        <v>0.99664729009382769</v>
      </c>
    </row>
    <row r="18" spans="1:16" ht="101.25" x14ac:dyDescent="0.2">
      <c r="A18" s="22" t="s">
        <v>210</v>
      </c>
      <c r="B18" s="178" t="s">
        <v>207</v>
      </c>
      <c r="C18" s="16">
        <v>37093</v>
      </c>
      <c r="D18" s="13">
        <v>42160</v>
      </c>
      <c r="E18" s="104">
        <v>46299.24</v>
      </c>
      <c r="F18" s="49">
        <f t="shared" si="10"/>
        <v>109.81793168880456</v>
      </c>
      <c r="G18" s="45">
        <f>0+41459</f>
        <v>41459</v>
      </c>
      <c r="H18" s="104">
        <v>41459</v>
      </c>
      <c r="I18" s="104">
        <v>47841.34</v>
      </c>
      <c r="J18" s="104">
        <v>41459</v>
      </c>
      <c r="K18" s="51">
        <f t="shared" si="8"/>
        <v>1</v>
      </c>
      <c r="L18" s="16">
        <v>41320</v>
      </c>
      <c r="M18" s="8">
        <v>42380</v>
      </c>
      <c r="N18" s="85">
        <v>43930</v>
      </c>
      <c r="O18" s="157">
        <f t="shared" si="4"/>
        <v>0.89245525412512172</v>
      </c>
      <c r="P18" s="166">
        <f t="shared" si="5"/>
        <v>0.99664729009382769</v>
      </c>
    </row>
    <row r="19" spans="1:16" ht="56.25" x14ac:dyDescent="0.2">
      <c r="A19" s="22" t="s">
        <v>24</v>
      </c>
      <c r="B19" s="175" t="s">
        <v>25</v>
      </c>
      <c r="C19" s="16">
        <f>C20</f>
        <v>9406343</v>
      </c>
      <c r="D19" s="13">
        <f>D20</f>
        <v>8662660</v>
      </c>
      <c r="E19" s="104">
        <v>8707942.7599999998</v>
      </c>
      <c r="F19" s="49">
        <f t="shared" si="10"/>
        <v>100.5227350490496</v>
      </c>
      <c r="G19" s="46">
        <f>G20</f>
        <v>9569747</v>
      </c>
      <c r="H19" s="104">
        <v>9569747</v>
      </c>
      <c r="I19" s="104">
        <f>I20</f>
        <v>9065138.0399999991</v>
      </c>
      <c r="J19" s="104">
        <f>J20</f>
        <v>9569747</v>
      </c>
      <c r="K19" s="51">
        <f t="shared" si="8"/>
        <v>1</v>
      </c>
      <c r="L19" s="40">
        <f>L20</f>
        <v>9941200</v>
      </c>
      <c r="M19" s="31">
        <f>M20</f>
        <v>10239590</v>
      </c>
      <c r="N19" s="85">
        <f>N20</f>
        <v>10596160</v>
      </c>
      <c r="O19" s="157">
        <f t="shared" si="4"/>
        <v>1.1416244081971894</v>
      </c>
      <c r="P19" s="166">
        <f t="shared" si="5"/>
        <v>1.0388153417222001</v>
      </c>
    </row>
    <row r="20" spans="1:16" ht="90" x14ac:dyDescent="0.2">
      <c r="A20" s="22" t="s">
        <v>211</v>
      </c>
      <c r="B20" s="178" t="s">
        <v>208</v>
      </c>
      <c r="C20" s="16">
        <v>9406343</v>
      </c>
      <c r="D20" s="13">
        <v>8662660</v>
      </c>
      <c r="E20" s="104">
        <v>8707942.7599999998</v>
      </c>
      <c r="F20" s="49">
        <f t="shared" si="10"/>
        <v>100.5227350490496</v>
      </c>
      <c r="G20" s="45">
        <f>0+9569747</f>
        <v>9569747</v>
      </c>
      <c r="H20" s="104">
        <v>9569747</v>
      </c>
      <c r="I20" s="104">
        <v>9065138.0399999991</v>
      </c>
      <c r="J20" s="104">
        <v>9569747</v>
      </c>
      <c r="K20" s="51">
        <f t="shared" si="8"/>
        <v>1</v>
      </c>
      <c r="L20" s="16">
        <v>9941200</v>
      </c>
      <c r="M20" s="8">
        <v>10239590</v>
      </c>
      <c r="N20" s="85">
        <v>10596160</v>
      </c>
      <c r="O20" s="157">
        <f t="shared" si="4"/>
        <v>1.1416244081971894</v>
      </c>
      <c r="P20" s="166">
        <f t="shared" si="5"/>
        <v>1.0388153417222001</v>
      </c>
    </row>
    <row r="21" spans="1:16" ht="34.5" customHeight="1" x14ac:dyDescent="0.2">
      <c r="A21" s="22" t="s">
        <v>26</v>
      </c>
      <c r="B21" s="175" t="s">
        <v>27</v>
      </c>
      <c r="C21" s="16">
        <f>C22</f>
        <v>-929352</v>
      </c>
      <c r="D21" s="13">
        <f>D22</f>
        <v>-1121830</v>
      </c>
      <c r="E21" s="31">
        <v>-1193317.93</v>
      </c>
      <c r="F21" s="49">
        <f t="shared" si="10"/>
        <v>106.37243878305982</v>
      </c>
      <c r="G21" s="46">
        <f>G22</f>
        <v>-1042282</v>
      </c>
      <c r="H21" s="104">
        <v>-1042282</v>
      </c>
      <c r="I21" s="104">
        <f>I22</f>
        <v>-1142781.81</v>
      </c>
      <c r="J21" s="104">
        <f>J22</f>
        <v>-1042282</v>
      </c>
      <c r="K21" s="51">
        <f t="shared" si="8"/>
        <v>1</v>
      </c>
      <c r="L21" s="40">
        <f>L22</f>
        <v>-936140</v>
      </c>
      <c r="M21" s="31">
        <f>M22</f>
        <v>-937480</v>
      </c>
      <c r="N21" s="85">
        <f>N22</f>
        <v>-975640</v>
      </c>
      <c r="O21" s="157">
        <f t="shared" si="4"/>
        <v>0.78448498632715591</v>
      </c>
      <c r="P21" s="166">
        <f t="shared" si="5"/>
        <v>0.89816383665840915</v>
      </c>
    </row>
    <row r="22" spans="1:16" ht="90" x14ac:dyDescent="0.2">
      <c r="A22" s="22" t="s">
        <v>212</v>
      </c>
      <c r="B22" s="178" t="s">
        <v>209</v>
      </c>
      <c r="C22" s="16">
        <v>-929352</v>
      </c>
      <c r="D22" s="13">
        <v>-1121830</v>
      </c>
      <c r="E22" s="31">
        <v>-1193317.93</v>
      </c>
      <c r="F22" s="49">
        <f t="shared" si="10"/>
        <v>106.37243878305982</v>
      </c>
      <c r="G22" s="45">
        <f>0+-1042282</f>
        <v>-1042282</v>
      </c>
      <c r="H22" s="104">
        <v>-1042282</v>
      </c>
      <c r="I22" s="104">
        <v>-1142781.81</v>
      </c>
      <c r="J22" s="104">
        <v>-1042282</v>
      </c>
      <c r="K22" s="51">
        <f t="shared" si="8"/>
        <v>1</v>
      </c>
      <c r="L22" s="16">
        <v>-936140</v>
      </c>
      <c r="M22" s="8">
        <v>-937480</v>
      </c>
      <c r="N22" s="85">
        <v>-975640</v>
      </c>
      <c r="O22" s="157">
        <f t="shared" si="4"/>
        <v>0.78448498632715591</v>
      </c>
      <c r="P22" s="166">
        <f t="shared" si="5"/>
        <v>0.89816383665840915</v>
      </c>
    </row>
    <row r="23" spans="1:16" x14ac:dyDescent="0.2">
      <c r="A23" s="192" t="s">
        <v>28</v>
      </c>
      <c r="B23" s="177" t="s">
        <v>29</v>
      </c>
      <c r="C23" s="109">
        <f t="shared" ref="C23:G23" si="14">C24+C31+C34+C36</f>
        <v>35065000</v>
      </c>
      <c r="D23" s="106">
        <f t="shared" si="14"/>
        <v>39125300</v>
      </c>
      <c r="E23" s="106">
        <f t="shared" si="14"/>
        <v>40900563.300000004</v>
      </c>
      <c r="F23" s="50">
        <f t="shared" si="10"/>
        <v>104.53737939389602</v>
      </c>
      <c r="G23" s="110">
        <f t="shared" si="14"/>
        <v>36846747</v>
      </c>
      <c r="H23" s="108">
        <v>41046747</v>
      </c>
      <c r="I23" s="106">
        <f>I24+I32+I34+I36</f>
        <v>51253298.680000007</v>
      </c>
      <c r="J23" s="108">
        <f>J24+J32+J34+J36</f>
        <v>49700000</v>
      </c>
      <c r="K23" s="51">
        <f t="shared" si="8"/>
        <v>1.2108145865980562</v>
      </c>
      <c r="L23" s="109">
        <f t="shared" ref="L23" si="15">L24+L31+L34+L36</f>
        <v>41797000</v>
      </c>
      <c r="M23" s="106">
        <f t="shared" ref="M23:N23" si="16">M24+M31+M34+M36</f>
        <v>45028000</v>
      </c>
      <c r="N23" s="111">
        <f t="shared" si="16"/>
        <v>47048000.899999999</v>
      </c>
      <c r="O23" s="158">
        <f t="shared" si="4"/>
        <v>1.0219174658653172</v>
      </c>
      <c r="P23" s="167">
        <f t="shared" si="5"/>
        <v>0.84098591549295776</v>
      </c>
    </row>
    <row r="24" spans="1:16" ht="22.5" x14ac:dyDescent="0.2">
      <c r="A24" s="22" t="s">
        <v>30</v>
      </c>
      <c r="B24" s="175" t="s">
        <v>31</v>
      </c>
      <c r="C24" s="112">
        <f>C25+C28+C30</f>
        <v>25015000</v>
      </c>
      <c r="D24" s="7">
        <f>D25+D28+D30</f>
        <v>28400300</v>
      </c>
      <c r="E24" s="7">
        <f>E25+E28+E30</f>
        <v>29378640.790000003</v>
      </c>
      <c r="F24" s="49">
        <f t="shared" si="10"/>
        <v>103.44482554761747</v>
      </c>
      <c r="G24" s="113">
        <f>G25+G28+G30</f>
        <v>30800000</v>
      </c>
      <c r="H24" s="104">
        <v>34600000</v>
      </c>
      <c r="I24" s="104">
        <f>I25+I28+I31</f>
        <v>44512294.130000003</v>
      </c>
      <c r="J24" s="104">
        <f>J25+J28+J31</f>
        <v>43200000</v>
      </c>
      <c r="K24" s="51">
        <f t="shared" si="8"/>
        <v>1.2485549132947977</v>
      </c>
      <c r="L24" s="112">
        <f>L25+L28+L30</f>
        <v>38100000</v>
      </c>
      <c r="M24" s="7">
        <f t="shared" ref="M24:N24" si="17">M25+M28+M30</f>
        <v>40850000</v>
      </c>
      <c r="N24" s="114">
        <f t="shared" si="17"/>
        <v>42700000</v>
      </c>
      <c r="O24" s="157">
        <f t="shared" si="4"/>
        <v>1.2968605413824523</v>
      </c>
      <c r="P24" s="166">
        <f t="shared" si="5"/>
        <v>0.88194444444444442</v>
      </c>
    </row>
    <row r="25" spans="1:16" ht="22.5" x14ac:dyDescent="0.2">
      <c r="A25" s="22" t="s">
        <v>32</v>
      </c>
      <c r="B25" s="175" t="s">
        <v>33</v>
      </c>
      <c r="C25" s="26">
        <f t="shared" ref="C25:E25" si="18">C26</f>
        <v>13015000</v>
      </c>
      <c r="D25" s="7">
        <f t="shared" si="18"/>
        <v>14200000</v>
      </c>
      <c r="E25" s="7">
        <f t="shared" si="18"/>
        <v>15264352.310000001</v>
      </c>
      <c r="F25" s="49">
        <f t="shared" si="10"/>
        <v>107.49543880281691</v>
      </c>
      <c r="G25" s="113">
        <f>G26+G27</f>
        <v>15500000</v>
      </c>
      <c r="H25" s="104">
        <v>15500000</v>
      </c>
      <c r="I25" s="104">
        <f>I26+I27</f>
        <v>21836850.809999999</v>
      </c>
      <c r="J25" s="104">
        <f>J26+J27</f>
        <v>20700000</v>
      </c>
      <c r="K25" s="51">
        <f t="shared" si="8"/>
        <v>1.3354838709677419</v>
      </c>
      <c r="L25" s="40">
        <f>L26</f>
        <v>19500000</v>
      </c>
      <c r="M25" s="31">
        <f>M26</f>
        <v>21450000</v>
      </c>
      <c r="N25" s="85">
        <f>N26</f>
        <v>22500000</v>
      </c>
      <c r="O25" s="157">
        <f t="shared" si="4"/>
        <v>1.2774862374753455</v>
      </c>
      <c r="P25" s="166">
        <f t="shared" si="5"/>
        <v>0.94202898550724634</v>
      </c>
    </row>
    <row r="26" spans="1:16" ht="22.5" x14ac:dyDescent="0.2">
      <c r="A26" s="22" t="s">
        <v>32</v>
      </c>
      <c r="B26" s="175" t="s">
        <v>34</v>
      </c>
      <c r="C26" s="16">
        <v>13015000</v>
      </c>
      <c r="D26" s="13">
        <v>14200000</v>
      </c>
      <c r="E26" s="104">
        <v>15264352.310000001</v>
      </c>
      <c r="F26" s="49">
        <f t="shared" si="10"/>
        <v>107.49543880281691</v>
      </c>
      <c r="G26" s="46">
        <v>15500000</v>
      </c>
      <c r="H26" s="104">
        <v>15500000</v>
      </c>
      <c r="I26" s="104">
        <v>21836849.91</v>
      </c>
      <c r="J26" s="104">
        <v>20700000</v>
      </c>
      <c r="K26" s="51">
        <f t="shared" si="8"/>
        <v>1.3354838709677419</v>
      </c>
      <c r="L26" s="26">
        <v>19500000</v>
      </c>
      <c r="M26" s="33">
        <v>21450000</v>
      </c>
      <c r="N26" s="81">
        <v>22500000</v>
      </c>
      <c r="O26" s="157">
        <f t="shared" si="4"/>
        <v>1.2774862374753455</v>
      </c>
      <c r="P26" s="166">
        <f t="shared" si="5"/>
        <v>0.94202898550724634</v>
      </c>
    </row>
    <row r="27" spans="1:16" ht="33.75" x14ac:dyDescent="0.2">
      <c r="A27" s="23" t="s">
        <v>361</v>
      </c>
      <c r="B27" s="179" t="s">
        <v>419</v>
      </c>
      <c r="C27" s="15">
        <v>0</v>
      </c>
      <c r="D27" s="6">
        <v>0</v>
      </c>
      <c r="E27" s="104">
        <v>2.58</v>
      </c>
      <c r="F27" s="49"/>
      <c r="G27" s="43">
        <v>0</v>
      </c>
      <c r="H27" s="104">
        <v>0</v>
      </c>
      <c r="I27" s="104">
        <v>0.9</v>
      </c>
      <c r="J27" s="104">
        <v>0</v>
      </c>
      <c r="K27" s="51"/>
      <c r="L27" s="15">
        <v>0</v>
      </c>
      <c r="M27" s="104">
        <v>0</v>
      </c>
      <c r="N27" s="115">
        <v>0</v>
      </c>
      <c r="O27" s="157">
        <f t="shared" si="4"/>
        <v>0</v>
      </c>
      <c r="P27" s="166"/>
    </row>
    <row r="28" spans="1:16" ht="33.75" x14ac:dyDescent="0.2">
      <c r="A28" s="23" t="s">
        <v>35</v>
      </c>
      <c r="B28" s="175" t="s">
        <v>36</v>
      </c>
      <c r="C28" s="26">
        <f t="shared" ref="C28:D28" si="19">C29</f>
        <v>12000000</v>
      </c>
      <c r="D28" s="7">
        <f t="shared" si="19"/>
        <v>14200000</v>
      </c>
      <c r="E28" s="104">
        <v>14113996</v>
      </c>
      <c r="F28" s="49">
        <f>E28/D28*100</f>
        <v>99.394338028169017</v>
      </c>
      <c r="G28" s="116">
        <f>G29+G30</f>
        <v>15300000</v>
      </c>
      <c r="H28" s="104">
        <v>19100000</v>
      </c>
      <c r="I28" s="104">
        <f>I29+I30</f>
        <v>22675157.510000002</v>
      </c>
      <c r="J28" s="104">
        <f>J29+J30</f>
        <v>22500000</v>
      </c>
      <c r="K28" s="51">
        <f t="shared" si="8"/>
        <v>1.1780104712041886</v>
      </c>
      <c r="L28" s="40">
        <f>L29</f>
        <v>18600000</v>
      </c>
      <c r="M28" s="31">
        <f>M29</f>
        <v>19400000</v>
      </c>
      <c r="N28" s="85">
        <f>N29</f>
        <v>20200000</v>
      </c>
      <c r="O28" s="157">
        <f t="shared" si="4"/>
        <v>1.3178408155989274</v>
      </c>
      <c r="P28" s="166">
        <f t="shared" si="5"/>
        <v>0.82666666666666666</v>
      </c>
    </row>
    <row r="29" spans="1:16" ht="45" x14ac:dyDescent="0.2">
      <c r="A29" s="23" t="s">
        <v>37</v>
      </c>
      <c r="B29" s="175" t="s">
        <v>38</v>
      </c>
      <c r="C29" s="16">
        <v>12000000</v>
      </c>
      <c r="D29" s="13">
        <v>14200000</v>
      </c>
      <c r="E29" s="104">
        <v>14113996</v>
      </c>
      <c r="F29" s="49">
        <f>E29/D29*100</f>
        <v>99.394338028169017</v>
      </c>
      <c r="G29" s="46">
        <v>15300000</v>
      </c>
      <c r="H29" s="104">
        <v>19100000</v>
      </c>
      <c r="I29" s="104">
        <v>22675203.530000001</v>
      </c>
      <c r="J29" s="104">
        <v>22500000</v>
      </c>
      <c r="K29" s="51">
        <f t="shared" si="8"/>
        <v>1.1780104712041886</v>
      </c>
      <c r="L29" s="16">
        <v>18600000</v>
      </c>
      <c r="M29" s="8">
        <v>19400000</v>
      </c>
      <c r="N29" s="85">
        <v>20200000</v>
      </c>
      <c r="O29" s="157">
        <f t="shared" si="4"/>
        <v>1.3178408155989274</v>
      </c>
      <c r="P29" s="166">
        <f t="shared" si="5"/>
        <v>0.82666666666666666</v>
      </c>
    </row>
    <row r="30" spans="1:16" ht="45" x14ac:dyDescent="0.2">
      <c r="A30" s="23" t="s">
        <v>413</v>
      </c>
      <c r="B30" s="178" t="s">
        <v>324</v>
      </c>
      <c r="C30" s="15">
        <v>0</v>
      </c>
      <c r="D30" s="13">
        <v>300</v>
      </c>
      <c r="E30" s="104">
        <v>292.48</v>
      </c>
      <c r="F30" s="49">
        <f>E30/D30*100</f>
        <v>97.493333333333339</v>
      </c>
      <c r="G30" s="43">
        <v>0</v>
      </c>
      <c r="H30" s="104">
        <v>0</v>
      </c>
      <c r="I30" s="104">
        <v>-46.02</v>
      </c>
      <c r="J30" s="104">
        <v>0</v>
      </c>
      <c r="K30" s="51"/>
      <c r="L30" s="15">
        <v>0</v>
      </c>
      <c r="M30" s="104">
        <v>0</v>
      </c>
      <c r="N30" s="115">
        <v>0</v>
      </c>
      <c r="O30" s="157">
        <f t="shared" si="4"/>
        <v>0</v>
      </c>
      <c r="P30" s="166"/>
    </row>
    <row r="31" spans="1:16" ht="33.75" x14ac:dyDescent="0.2">
      <c r="A31" s="23" t="s">
        <v>323</v>
      </c>
      <c r="B31" s="175" t="s">
        <v>40</v>
      </c>
      <c r="C31" s="26">
        <f t="shared" ref="C31:D31" si="20">C32</f>
        <v>6700000</v>
      </c>
      <c r="D31" s="7">
        <f t="shared" si="20"/>
        <v>7050000</v>
      </c>
      <c r="E31" s="104">
        <v>7316809.3099999996</v>
      </c>
      <c r="F31" s="49">
        <f>E31/D31*100</f>
        <v>103.78452921985814</v>
      </c>
      <c r="G31" s="46">
        <f>G32</f>
        <v>2000000</v>
      </c>
      <c r="H31" s="104">
        <v>0</v>
      </c>
      <c r="I31" s="104">
        <v>285.81</v>
      </c>
      <c r="J31" s="104">
        <v>0</v>
      </c>
      <c r="K31" s="51"/>
      <c r="L31" s="15">
        <v>0</v>
      </c>
      <c r="M31" s="104">
        <v>0</v>
      </c>
      <c r="N31" s="115">
        <v>0.9</v>
      </c>
      <c r="O31" s="157">
        <f t="shared" si="4"/>
        <v>0</v>
      </c>
      <c r="P31" s="166"/>
    </row>
    <row r="32" spans="1:16" ht="22.5" x14ac:dyDescent="0.2">
      <c r="A32" s="22" t="s">
        <v>39</v>
      </c>
      <c r="B32" s="175" t="s">
        <v>41</v>
      </c>
      <c r="C32" s="16">
        <v>6700000</v>
      </c>
      <c r="D32" s="8">
        <v>7050000</v>
      </c>
      <c r="E32" s="104">
        <v>7316960.7599999998</v>
      </c>
      <c r="F32" s="49">
        <f>E32/D32*100</f>
        <v>103.78667744680851</v>
      </c>
      <c r="G32" s="46">
        <v>2000000</v>
      </c>
      <c r="H32" s="104">
        <v>2100000</v>
      </c>
      <c r="I32" s="104">
        <f>I33</f>
        <v>2246707.6</v>
      </c>
      <c r="J32" s="104">
        <f>J33</f>
        <v>2200000</v>
      </c>
      <c r="K32" s="51">
        <f t="shared" si="8"/>
        <v>1.0476190476190477</v>
      </c>
      <c r="L32" s="15">
        <v>0</v>
      </c>
      <c r="M32" s="104">
        <v>0</v>
      </c>
      <c r="N32" s="115">
        <v>0.9</v>
      </c>
      <c r="O32" s="157">
        <f t="shared" si="4"/>
        <v>0</v>
      </c>
      <c r="P32" s="166">
        <f t="shared" si="5"/>
        <v>0</v>
      </c>
    </row>
    <row r="33" spans="1:16" ht="33.75" x14ac:dyDescent="0.2">
      <c r="A33" s="23" t="s">
        <v>362</v>
      </c>
      <c r="B33" s="179" t="s">
        <v>432</v>
      </c>
      <c r="C33" s="15">
        <v>0</v>
      </c>
      <c r="D33" s="8">
        <v>0</v>
      </c>
      <c r="E33" s="104">
        <v>-151.44999999999999</v>
      </c>
      <c r="F33" s="49"/>
      <c r="G33" s="43">
        <v>0</v>
      </c>
      <c r="H33" s="104">
        <v>2100000</v>
      </c>
      <c r="I33" s="104">
        <v>2246707.6</v>
      </c>
      <c r="J33" s="104">
        <v>2200000</v>
      </c>
      <c r="K33" s="51">
        <f t="shared" si="8"/>
        <v>1.0476190476190477</v>
      </c>
      <c r="L33" s="15">
        <v>0</v>
      </c>
      <c r="M33" s="104">
        <v>0</v>
      </c>
      <c r="N33" s="115">
        <v>0.9</v>
      </c>
      <c r="O33" s="157">
        <f t="shared" si="4"/>
        <v>0</v>
      </c>
      <c r="P33" s="166">
        <f t="shared" si="5"/>
        <v>0</v>
      </c>
    </row>
    <row r="34" spans="1:16" x14ac:dyDescent="0.2">
      <c r="A34" s="22" t="s">
        <v>42</v>
      </c>
      <c r="B34" s="175" t="s">
        <v>43</v>
      </c>
      <c r="C34" s="26">
        <f t="shared" ref="C34:D34" si="21">C35</f>
        <v>2300000</v>
      </c>
      <c r="D34" s="7">
        <f t="shared" si="21"/>
        <v>2075000</v>
      </c>
      <c r="E34" s="104">
        <v>2129010.75</v>
      </c>
      <c r="F34" s="49">
        <f t="shared" ref="F34:F45" si="22">E34/D34*100</f>
        <v>102.60292771084339</v>
      </c>
      <c r="G34" s="46">
        <f>G35</f>
        <v>2046747</v>
      </c>
      <c r="H34" s="104">
        <v>2046747</v>
      </c>
      <c r="I34" s="104">
        <f>I35</f>
        <v>1726848.39</v>
      </c>
      <c r="J34" s="104">
        <f>J35</f>
        <v>1700000</v>
      </c>
      <c r="K34" s="51">
        <f t="shared" si="8"/>
        <v>0.83058629131983586</v>
      </c>
      <c r="L34" s="40">
        <f>L35</f>
        <v>1097000</v>
      </c>
      <c r="M34" s="31">
        <f>M35</f>
        <v>1578000</v>
      </c>
      <c r="N34" s="85">
        <f>N35</f>
        <v>1748000</v>
      </c>
      <c r="O34" s="157">
        <f t="shared" si="4"/>
        <v>0.5152627810827165</v>
      </c>
      <c r="P34" s="166">
        <f t="shared" si="5"/>
        <v>0.6452941176470588</v>
      </c>
    </row>
    <row r="35" spans="1:16" x14ac:dyDescent="0.2">
      <c r="A35" s="22" t="s">
        <v>42</v>
      </c>
      <c r="B35" s="175" t="s">
        <v>44</v>
      </c>
      <c r="C35" s="16">
        <v>2300000</v>
      </c>
      <c r="D35" s="6">
        <v>2075000</v>
      </c>
      <c r="E35" s="104">
        <v>2129010.75</v>
      </c>
      <c r="F35" s="49">
        <f t="shared" si="22"/>
        <v>102.60292771084339</v>
      </c>
      <c r="G35" s="46">
        <v>2046747</v>
      </c>
      <c r="H35" s="104">
        <v>2046747</v>
      </c>
      <c r="I35" s="104">
        <v>1726848.39</v>
      </c>
      <c r="J35" s="104">
        <v>1700000</v>
      </c>
      <c r="K35" s="51">
        <f t="shared" si="8"/>
        <v>0.83058629131983586</v>
      </c>
      <c r="L35" s="16">
        <v>1097000</v>
      </c>
      <c r="M35" s="8">
        <v>1578000</v>
      </c>
      <c r="N35" s="85">
        <v>1748000</v>
      </c>
      <c r="O35" s="157">
        <f t="shared" si="4"/>
        <v>0.5152627810827165</v>
      </c>
      <c r="P35" s="166">
        <f t="shared" si="5"/>
        <v>0.6452941176470588</v>
      </c>
    </row>
    <row r="36" spans="1:16" ht="22.5" x14ac:dyDescent="0.2">
      <c r="A36" s="22" t="s">
        <v>45</v>
      </c>
      <c r="B36" s="175" t="s">
        <v>46</v>
      </c>
      <c r="C36" s="26">
        <f t="shared" ref="C36:D36" si="23">C37</f>
        <v>1050000</v>
      </c>
      <c r="D36" s="7">
        <f t="shared" si="23"/>
        <v>1600000</v>
      </c>
      <c r="E36" s="104">
        <v>2076102.45</v>
      </c>
      <c r="F36" s="49">
        <f t="shared" si="22"/>
        <v>129.75640312499999</v>
      </c>
      <c r="G36" s="46">
        <f>G37</f>
        <v>2000000</v>
      </c>
      <c r="H36" s="104">
        <v>2300000</v>
      </c>
      <c r="I36" s="104">
        <f>I37</f>
        <v>2767448.56</v>
      </c>
      <c r="J36" s="104">
        <f>J37</f>
        <v>2600000</v>
      </c>
      <c r="K36" s="51">
        <f t="shared" si="8"/>
        <v>1.1304347826086956</v>
      </c>
      <c r="L36" s="40">
        <f>L37</f>
        <v>2600000</v>
      </c>
      <c r="M36" s="31">
        <f>M37</f>
        <v>2600000</v>
      </c>
      <c r="N36" s="85">
        <f>N37</f>
        <v>2600000</v>
      </c>
      <c r="O36" s="157">
        <f t="shared" si="4"/>
        <v>1.2523466748955476</v>
      </c>
      <c r="P36" s="166">
        <f t="shared" si="5"/>
        <v>1</v>
      </c>
    </row>
    <row r="37" spans="1:16" ht="33.75" x14ac:dyDescent="0.2">
      <c r="A37" s="22" t="s">
        <v>47</v>
      </c>
      <c r="B37" s="175" t="s">
        <v>48</v>
      </c>
      <c r="C37" s="16">
        <v>1050000</v>
      </c>
      <c r="D37" s="6">
        <v>1600000</v>
      </c>
      <c r="E37" s="104">
        <v>2076102.45</v>
      </c>
      <c r="F37" s="49">
        <f t="shared" si="22"/>
        <v>129.75640312499999</v>
      </c>
      <c r="G37" s="46">
        <v>2000000</v>
      </c>
      <c r="H37" s="104">
        <v>2300000</v>
      </c>
      <c r="I37" s="104">
        <v>2767448.56</v>
      </c>
      <c r="J37" s="104">
        <v>2600000</v>
      </c>
      <c r="K37" s="51">
        <f t="shared" si="8"/>
        <v>1.1304347826086956</v>
      </c>
      <c r="L37" s="16">
        <v>2600000</v>
      </c>
      <c r="M37" s="8">
        <v>2600000</v>
      </c>
      <c r="N37" s="85">
        <v>2600000</v>
      </c>
      <c r="O37" s="157">
        <f t="shared" si="4"/>
        <v>1.2523466748955476</v>
      </c>
      <c r="P37" s="166">
        <f t="shared" si="5"/>
        <v>1</v>
      </c>
    </row>
    <row r="38" spans="1:16" x14ac:dyDescent="0.2">
      <c r="A38" s="192" t="s">
        <v>49</v>
      </c>
      <c r="B38" s="177" t="s">
        <v>50</v>
      </c>
      <c r="C38" s="53">
        <f t="shared" ref="C38:E38" si="24">C39+C41</f>
        <v>48280000</v>
      </c>
      <c r="D38" s="106">
        <f t="shared" si="24"/>
        <v>49480000</v>
      </c>
      <c r="E38" s="106">
        <f t="shared" si="24"/>
        <v>50638949.699999996</v>
      </c>
      <c r="F38" s="50">
        <f t="shared" si="22"/>
        <v>102.34225889248181</v>
      </c>
      <c r="G38" s="107">
        <f>G39+G41</f>
        <v>43710480</v>
      </c>
      <c r="H38" s="108">
        <v>43710480</v>
      </c>
      <c r="I38" s="108">
        <f>I39+I41</f>
        <v>37078993.510000005</v>
      </c>
      <c r="J38" s="108">
        <f>J39+J41</f>
        <v>43710000</v>
      </c>
      <c r="K38" s="51">
        <f t="shared" si="8"/>
        <v>0.99998901865181988</v>
      </c>
      <c r="L38" s="53">
        <f>L39+L41</f>
        <v>45980000</v>
      </c>
      <c r="M38" s="34">
        <f t="shared" ref="M38:N38" si="25">M39+M41</f>
        <v>47259000</v>
      </c>
      <c r="N38" s="82">
        <f t="shared" si="25"/>
        <v>47259000</v>
      </c>
      <c r="O38" s="158">
        <f t="shared" si="4"/>
        <v>0.90799671542160765</v>
      </c>
      <c r="P38" s="167">
        <f t="shared" si="5"/>
        <v>1.0519331960649736</v>
      </c>
    </row>
    <row r="39" spans="1:16" x14ac:dyDescent="0.2">
      <c r="A39" s="22" t="s">
        <v>51</v>
      </c>
      <c r="B39" s="175" t="s">
        <v>52</v>
      </c>
      <c r="C39" s="26">
        <f t="shared" ref="C39:E39" si="26">C40</f>
        <v>5280000</v>
      </c>
      <c r="D39" s="7">
        <f t="shared" si="26"/>
        <v>5280000</v>
      </c>
      <c r="E39" s="7">
        <f t="shared" si="26"/>
        <v>4961502.8899999997</v>
      </c>
      <c r="F39" s="49">
        <f t="shared" si="22"/>
        <v>93.967857765151507</v>
      </c>
      <c r="G39" s="46">
        <f>G40</f>
        <v>5610480</v>
      </c>
      <c r="H39" s="104">
        <v>5610480</v>
      </c>
      <c r="I39" s="104">
        <f>I40</f>
        <v>4312338.68</v>
      </c>
      <c r="J39" s="104">
        <f>J40</f>
        <v>5610000</v>
      </c>
      <c r="K39" s="51">
        <f t="shared" si="8"/>
        <v>0.9999144458228173</v>
      </c>
      <c r="L39" s="26">
        <f>L40</f>
        <v>5880000</v>
      </c>
      <c r="M39" s="33">
        <f>M40</f>
        <v>6159000</v>
      </c>
      <c r="N39" s="85">
        <f>N40</f>
        <v>6159000</v>
      </c>
      <c r="O39" s="157">
        <f t="shared" si="4"/>
        <v>1.1851247757713188</v>
      </c>
      <c r="P39" s="166">
        <f t="shared" si="5"/>
        <v>1.0481283422459893</v>
      </c>
    </row>
    <row r="40" spans="1:16" ht="33.75" x14ac:dyDescent="0.2">
      <c r="A40" s="22" t="s">
        <v>53</v>
      </c>
      <c r="B40" s="175" t="s">
        <v>54</v>
      </c>
      <c r="C40" s="16">
        <v>5280000</v>
      </c>
      <c r="D40" s="6">
        <v>5280000</v>
      </c>
      <c r="E40" s="104">
        <v>4961502.8899999997</v>
      </c>
      <c r="F40" s="49">
        <f t="shared" si="22"/>
        <v>93.967857765151507</v>
      </c>
      <c r="G40" s="46">
        <v>5610480</v>
      </c>
      <c r="H40" s="104">
        <v>5610480</v>
      </c>
      <c r="I40" s="104">
        <v>4312338.68</v>
      </c>
      <c r="J40" s="104">
        <v>5610000</v>
      </c>
      <c r="K40" s="51">
        <f t="shared" si="8"/>
        <v>0.9999144458228173</v>
      </c>
      <c r="L40" s="16">
        <v>5880000</v>
      </c>
      <c r="M40" s="8">
        <v>6159000</v>
      </c>
      <c r="N40" s="85">
        <v>6159000</v>
      </c>
      <c r="O40" s="157">
        <f t="shared" si="4"/>
        <v>1.1851247757713188</v>
      </c>
      <c r="P40" s="166">
        <f t="shared" si="5"/>
        <v>1.0481283422459893</v>
      </c>
    </row>
    <row r="41" spans="1:16" x14ac:dyDescent="0.2">
      <c r="A41" s="22" t="s">
        <v>55</v>
      </c>
      <c r="B41" s="175" t="s">
        <v>56</v>
      </c>
      <c r="C41" s="26">
        <f t="shared" ref="C41:E41" si="27">C42+C44</f>
        <v>43000000</v>
      </c>
      <c r="D41" s="7">
        <f t="shared" si="27"/>
        <v>44200000</v>
      </c>
      <c r="E41" s="7">
        <f t="shared" si="27"/>
        <v>45677446.809999995</v>
      </c>
      <c r="F41" s="49">
        <f t="shared" si="22"/>
        <v>103.34263984162895</v>
      </c>
      <c r="G41" s="46">
        <f>G42+G44</f>
        <v>38100000</v>
      </c>
      <c r="H41" s="104">
        <v>38100000</v>
      </c>
      <c r="I41" s="104">
        <f>I42+I44</f>
        <v>32766654.830000002</v>
      </c>
      <c r="J41" s="104">
        <f>J42+J44</f>
        <v>38100000</v>
      </c>
      <c r="K41" s="51">
        <f t="shared" si="8"/>
        <v>1</v>
      </c>
      <c r="L41" s="26">
        <f>L42+L44</f>
        <v>40100000</v>
      </c>
      <c r="M41" s="33">
        <f t="shared" ref="M41:N41" si="28">M42+M44</f>
        <v>41100000</v>
      </c>
      <c r="N41" s="81">
        <f t="shared" si="28"/>
        <v>41100000</v>
      </c>
      <c r="O41" s="157">
        <f t="shared" si="4"/>
        <v>0.877894952552844</v>
      </c>
      <c r="P41" s="166">
        <f t="shared" si="5"/>
        <v>1.05249343832021</v>
      </c>
    </row>
    <row r="42" spans="1:16" x14ac:dyDescent="0.2">
      <c r="A42" s="22" t="s">
        <v>57</v>
      </c>
      <c r="B42" s="175" t="s">
        <v>58</v>
      </c>
      <c r="C42" s="26">
        <f t="shared" ref="C42:E42" si="29">C43</f>
        <v>33300000</v>
      </c>
      <c r="D42" s="7">
        <f t="shared" si="29"/>
        <v>34500000</v>
      </c>
      <c r="E42" s="7">
        <f t="shared" si="29"/>
        <v>35809911.479999997</v>
      </c>
      <c r="F42" s="49">
        <f t="shared" si="22"/>
        <v>103.79684486956519</v>
      </c>
      <c r="G42" s="46">
        <f>G43</f>
        <v>28100000</v>
      </c>
      <c r="H42" s="104">
        <v>28100000</v>
      </c>
      <c r="I42" s="104">
        <f>I43</f>
        <v>25241979.420000002</v>
      </c>
      <c r="J42" s="104">
        <f>J43</f>
        <v>28500000</v>
      </c>
      <c r="K42" s="51">
        <f t="shared" si="8"/>
        <v>1.0142348754448398</v>
      </c>
      <c r="L42" s="26">
        <f>L43</f>
        <v>31000000</v>
      </c>
      <c r="M42" s="33">
        <f>M43</f>
        <v>32000000</v>
      </c>
      <c r="N42" s="85">
        <f>N43</f>
        <v>32000000</v>
      </c>
      <c r="O42" s="157">
        <f t="shared" si="4"/>
        <v>0.86568211756998181</v>
      </c>
      <c r="P42" s="166">
        <f t="shared" si="5"/>
        <v>1.0877192982456141</v>
      </c>
    </row>
    <row r="43" spans="1:16" ht="22.5" x14ac:dyDescent="0.2">
      <c r="A43" s="22" t="s">
        <v>59</v>
      </c>
      <c r="B43" s="175" t="s">
        <v>60</v>
      </c>
      <c r="C43" s="16">
        <v>33300000</v>
      </c>
      <c r="D43" s="6">
        <v>34500000</v>
      </c>
      <c r="E43" s="104">
        <v>35809911.479999997</v>
      </c>
      <c r="F43" s="49">
        <f t="shared" si="22"/>
        <v>103.79684486956519</v>
      </c>
      <c r="G43" s="46">
        <v>28100000</v>
      </c>
      <c r="H43" s="104">
        <v>28100000</v>
      </c>
      <c r="I43" s="104">
        <v>25241979.420000002</v>
      </c>
      <c r="J43" s="104">
        <v>28500000</v>
      </c>
      <c r="K43" s="51">
        <f t="shared" si="8"/>
        <v>1.0142348754448398</v>
      </c>
      <c r="L43" s="16">
        <v>31000000</v>
      </c>
      <c r="M43" s="8">
        <v>32000000</v>
      </c>
      <c r="N43" s="85">
        <v>32000000</v>
      </c>
      <c r="O43" s="157">
        <f t="shared" si="4"/>
        <v>0.86568211756998181</v>
      </c>
      <c r="P43" s="166">
        <f t="shared" si="5"/>
        <v>1.0877192982456141</v>
      </c>
    </row>
    <row r="44" spans="1:16" x14ac:dyDescent="0.2">
      <c r="A44" s="22" t="s">
        <v>61</v>
      </c>
      <c r="B44" s="175" t="s">
        <v>62</v>
      </c>
      <c r="C44" s="26">
        <f t="shared" ref="C44:D44" si="30">C45</f>
        <v>9700000</v>
      </c>
      <c r="D44" s="7">
        <f t="shared" si="30"/>
        <v>9700000</v>
      </c>
      <c r="E44" s="104">
        <v>9867535.3300000001</v>
      </c>
      <c r="F44" s="49">
        <f t="shared" si="22"/>
        <v>101.72716835051547</v>
      </c>
      <c r="G44" s="46">
        <f>G45</f>
        <v>10000000</v>
      </c>
      <c r="H44" s="104">
        <v>10000000</v>
      </c>
      <c r="I44" s="104">
        <f>I45</f>
        <v>7524675.4100000001</v>
      </c>
      <c r="J44" s="104">
        <f>J45</f>
        <v>9600000</v>
      </c>
      <c r="K44" s="51">
        <f t="shared" si="8"/>
        <v>0.96</v>
      </c>
      <c r="L44" s="26">
        <f>L45</f>
        <v>9100000</v>
      </c>
      <c r="M44" s="33">
        <f>M45</f>
        <v>9100000</v>
      </c>
      <c r="N44" s="85">
        <f>N45</f>
        <v>9100000</v>
      </c>
      <c r="O44" s="157">
        <f t="shared" si="4"/>
        <v>0.9222161052044594</v>
      </c>
      <c r="P44" s="166">
        <f t="shared" si="5"/>
        <v>0.94791666666666663</v>
      </c>
    </row>
    <row r="45" spans="1:16" ht="22.5" x14ac:dyDescent="0.2">
      <c r="A45" s="22" t="s">
        <v>63</v>
      </c>
      <c r="B45" s="175" t="s">
        <v>64</v>
      </c>
      <c r="C45" s="16">
        <v>9700000</v>
      </c>
      <c r="D45" s="6">
        <v>9700000</v>
      </c>
      <c r="E45" s="104">
        <v>9867535.3300000001</v>
      </c>
      <c r="F45" s="49">
        <f t="shared" si="22"/>
        <v>101.72716835051547</v>
      </c>
      <c r="G45" s="46">
        <v>10000000</v>
      </c>
      <c r="H45" s="104">
        <v>10000000</v>
      </c>
      <c r="I45" s="104">
        <v>7524675.4100000001</v>
      </c>
      <c r="J45" s="104">
        <v>9600000</v>
      </c>
      <c r="K45" s="51">
        <f t="shared" si="8"/>
        <v>0.96</v>
      </c>
      <c r="L45" s="16">
        <v>9100000</v>
      </c>
      <c r="M45" s="8">
        <v>9100000</v>
      </c>
      <c r="N45" s="85">
        <v>9100000</v>
      </c>
      <c r="O45" s="157">
        <f t="shared" si="4"/>
        <v>0.9222161052044594</v>
      </c>
      <c r="P45" s="166">
        <f t="shared" si="5"/>
        <v>0.94791666666666663</v>
      </c>
    </row>
    <row r="46" spans="1:16" ht="21.75" x14ac:dyDescent="0.2">
      <c r="A46" s="25" t="s">
        <v>398</v>
      </c>
      <c r="B46" s="180" t="s">
        <v>401</v>
      </c>
      <c r="C46" s="19">
        <f>C47</f>
        <v>0</v>
      </c>
      <c r="D46" s="9">
        <f t="shared" ref="D46:E47" si="31">D47</f>
        <v>0</v>
      </c>
      <c r="E46" s="9">
        <f t="shared" si="31"/>
        <v>0</v>
      </c>
      <c r="F46" s="49"/>
      <c r="G46" s="117">
        <v>0</v>
      </c>
      <c r="H46" s="108">
        <v>0</v>
      </c>
      <c r="I46" s="108">
        <f>I47</f>
        <v>120</v>
      </c>
      <c r="J46" s="108">
        <f>J47</f>
        <v>0</v>
      </c>
      <c r="K46" s="51"/>
      <c r="L46" s="21">
        <v>0</v>
      </c>
      <c r="M46" s="108">
        <v>0</v>
      </c>
      <c r="N46" s="118">
        <v>0.9</v>
      </c>
      <c r="O46" s="158"/>
      <c r="P46" s="167"/>
    </row>
    <row r="47" spans="1:16" ht="22.5" x14ac:dyDescent="0.2">
      <c r="A47" s="23" t="s">
        <v>399</v>
      </c>
      <c r="B47" s="179" t="s">
        <v>402</v>
      </c>
      <c r="C47" s="16">
        <f>C48</f>
        <v>0</v>
      </c>
      <c r="D47" s="8">
        <f t="shared" si="31"/>
        <v>0</v>
      </c>
      <c r="E47" s="8">
        <f t="shared" si="31"/>
        <v>0</v>
      </c>
      <c r="F47" s="49"/>
      <c r="G47" s="119">
        <v>0</v>
      </c>
      <c r="H47" s="104">
        <v>0</v>
      </c>
      <c r="I47" s="104">
        <f>I48</f>
        <v>120</v>
      </c>
      <c r="J47" s="104">
        <f>J48</f>
        <v>0</v>
      </c>
      <c r="K47" s="51"/>
      <c r="L47" s="15">
        <v>0</v>
      </c>
      <c r="M47" s="104">
        <v>0</v>
      </c>
      <c r="N47" s="115">
        <v>0.9</v>
      </c>
      <c r="O47" s="157"/>
      <c r="P47" s="166"/>
    </row>
    <row r="48" spans="1:16" x14ac:dyDescent="0.2">
      <c r="A48" s="23" t="s">
        <v>400</v>
      </c>
      <c r="B48" s="179" t="s">
        <v>403</v>
      </c>
      <c r="C48" s="16">
        <v>0</v>
      </c>
      <c r="D48" s="8">
        <v>0</v>
      </c>
      <c r="E48" s="8">
        <v>0</v>
      </c>
      <c r="F48" s="49"/>
      <c r="G48" s="119">
        <v>0</v>
      </c>
      <c r="H48" s="104">
        <v>0</v>
      </c>
      <c r="I48" s="104">
        <v>120</v>
      </c>
      <c r="J48" s="104">
        <v>0</v>
      </c>
      <c r="K48" s="51"/>
      <c r="L48" s="15">
        <v>0</v>
      </c>
      <c r="M48" s="104">
        <v>0</v>
      </c>
      <c r="N48" s="115">
        <v>0.9</v>
      </c>
      <c r="O48" s="157"/>
      <c r="P48" s="166"/>
    </row>
    <row r="49" spans="1:16" x14ac:dyDescent="0.2">
      <c r="A49" s="192" t="s">
        <v>65</v>
      </c>
      <c r="B49" s="177" t="s">
        <v>66</v>
      </c>
      <c r="C49" s="109">
        <f t="shared" ref="C49:E49" si="32">C50+C52+C53</f>
        <v>9398500</v>
      </c>
      <c r="D49" s="106">
        <f t="shared" si="32"/>
        <v>9294000</v>
      </c>
      <c r="E49" s="106">
        <f t="shared" si="32"/>
        <v>9435503.3399999999</v>
      </c>
      <c r="F49" s="50">
        <f>E49/D49*100</f>
        <v>101.52252356358942</v>
      </c>
      <c r="G49" s="110">
        <f t="shared" ref="G49" si="33">G50+G52+G53</f>
        <v>5680000</v>
      </c>
      <c r="H49" s="106">
        <f t="shared" ref="H49" si="34">H50+H52+H53</f>
        <v>5680000</v>
      </c>
      <c r="I49" s="106">
        <f t="shared" ref="I49:J49" si="35">I50+I52+I53</f>
        <v>4615923.49</v>
      </c>
      <c r="J49" s="106">
        <f t="shared" si="35"/>
        <v>5680000</v>
      </c>
      <c r="K49" s="51">
        <f t="shared" si="8"/>
        <v>1</v>
      </c>
      <c r="L49" s="109">
        <f t="shared" ref="L49:N49" si="36">L50+L52+L53</f>
        <v>5880000</v>
      </c>
      <c r="M49" s="106">
        <f t="shared" si="36"/>
        <v>5880000</v>
      </c>
      <c r="N49" s="111">
        <f t="shared" si="36"/>
        <v>5880000</v>
      </c>
      <c r="O49" s="158">
        <f t="shared" si="4"/>
        <v>0.62317820132317392</v>
      </c>
      <c r="P49" s="167">
        <f t="shared" si="5"/>
        <v>1.0352112676056338</v>
      </c>
    </row>
    <row r="50" spans="1:16" ht="22.5" x14ac:dyDescent="0.2">
      <c r="A50" s="22" t="s">
        <v>67</v>
      </c>
      <c r="B50" s="175" t="s">
        <v>68</v>
      </c>
      <c r="C50" s="26">
        <f t="shared" ref="C50:D50" si="37">C51</f>
        <v>5200000</v>
      </c>
      <c r="D50" s="7">
        <f t="shared" si="37"/>
        <v>5500000</v>
      </c>
      <c r="E50" s="104">
        <v>5579116.7300000004</v>
      </c>
      <c r="F50" s="49">
        <f>E50/D50*100</f>
        <v>101.43848600000001</v>
      </c>
      <c r="G50" s="116">
        <f t="shared" ref="G50" si="38">G51</f>
        <v>5670000</v>
      </c>
      <c r="H50" s="104">
        <v>5670000</v>
      </c>
      <c r="I50" s="104">
        <f>I51</f>
        <v>4610923.49</v>
      </c>
      <c r="J50" s="104">
        <f>J51</f>
        <v>5670000</v>
      </c>
      <c r="K50" s="51">
        <f t="shared" si="8"/>
        <v>1</v>
      </c>
      <c r="L50" s="26">
        <f>L51</f>
        <v>5830000</v>
      </c>
      <c r="M50" s="33">
        <f>M51</f>
        <v>5830000</v>
      </c>
      <c r="N50" s="85">
        <f>N51</f>
        <v>5830000</v>
      </c>
      <c r="O50" s="157">
        <f t="shared" si="4"/>
        <v>1.0449682776219669</v>
      </c>
      <c r="P50" s="166">
        <f t="shared" si="5"/>
        <v>1.0282186948853616</v>
      </c>
    </row>
    <row r="51" spans="1:16" ht="33.75" x14ac:dyDescent="0.2">
      <c r="A51" s="22" t="s">
        <v>69</v>
      </c>
      <c r="B51" s="175" t="s">
        <v>70</v>
      </c>
      <c r="C51" s="16">
        <v>5200000</v>
      </c>
      <c r="D51" s="6">
        <v>5500000</v>
      </c>
      <c r="E51" s="104">
        <v>5579116.7300000004</v>
      </c>
      <c r="F51" s="49">
        <f>E51/D51*100</f>
        <v>101.43848600000001</v>
      </c>
      <c r="G51" s="46">
        <v>5670000</v>
      </c>
      <c r="H51" s="104">
        <v>5670000</v>
      </c>
      <c r="I51" s="104">
        <v>4610923.49</v>
      </c>
      <c r="J51" s="104">
        <v>5670000</v>
      </c>
      <c r="K51" s="51">
        <f t="shared" si="8"/>
        <v>1</v>
      </c>
      <c r="L51" s="16">
        <v>5830000</v>
      </c>
      <c r="M51" s="8">
        <v>5830000</v>
      </c>
      <c r="N51" s="85">
        <v>5830000</v>
      </c>
      <c r="O51" s="157">
        <f t="shared" si="4"/>
        <v>1.0449682776219669</v>
      </c>
      <c r="P51" s="166">
        <f t="shared" si="5"/>
        <v>1.0282186948853616</v>
      </c>
    </row>
    <row r="52" spans="1:16" ht="56.25" x14ac:dyDescent="0.2">
      <c r="A52" s="22" t="s">
        <v>161</v>
      </c>
      <c r="B52" s="175" t="s">
        <v>162</v>
      </c>
      <c r="C52" s="26">
        <v>655500</v>
      </c>
      <c r="D52" s="7">
        <v>209000</v>
      </c>
      <c r="E52" s="104">
        <v>209000</v>
      </c>
      <c r="F52" s="49">
        <f>E52/D52*100</f>
        <v>100</v>
      </c>
      <c r="G52" s="119">
        <v>0</v>
      </c>
      <c r="H52" s="104">
        <v>0</v>
      </c>
      <c r="I52" s="104">
        <v>0</v>
      </c>
      <c r="J52" s="104">
        <v>0</v>
      </c>
      <c r="K52" s="51"/>
      <c r="L52" s="120">
        <v>0</v>
      </c>
      <c r="M52" s="104">
        <v>0</v>
      </c>
      <c r="N52" s="115">
        <v>0</v>
      </c>
      <c r="O52" s="157">
        <f t="shared" si="4"/>
        <v>0</v>
      </c>
      <c r="P52" s="166"/>
    </row>
    <row r="53" spans="1:16" ht="33.75" x14ac:dyDescent="0.2">
      <c r="A53" s="22" t="s">
        <v>71</v>
      </c>
      <c r="B53" s="175" t="s">
        <v>72</v>
      </c>
      <c r="C53" s="112">
        <f>C54+C55+C56+C57+C59+C60</f>
        <v>3543000</v>
      </c>
      <c r="D53" s="7">
        <f>D54+D55+D56+D57+D59+D60</f>
        <v>3585000</v>
      </c>
      <c r="E53" s="7">
        <f>E54+E55+E56+E57+E59+E60</f>
        <v>3647386.61</v>
      </c>
      <c r="F53" s="49">
        <f>E53/D53*100</f>
        <v>101.74021227336124</v>
      </c>
      <c r="G53" s="113">
        <f>G54+G55+G56+G57+G59+G60</f>
        <v>10000</v>
      </c>
      <c r="H53" s="7">
        <f>H54+H55+H56+H57+H59+H60</f>
        <v>10000</v>
      </c>
      <c r="I53" s="7">
        <f>I54+I55+I56+I57+I59+I60</f>
        <v>5000</v>
      </c>
      <c r="J53" s="7">
        <f>J54+J55+J56+J57+J59+J60</f>
        <v>10000</v>
      </c>
      <c r="K53" s="51">
        <f t="shared" si="8"/>
        <v>1</v>
      </c>
      <c r="L53" s="112">
        <f>L54+L55+L56+L57+L59+L60</f>
        <v>50000</v>
      </c>
      <c r="M53" s="7">
        <f>M54+M55+M56+M57+M59+M60</f>
        <v>50000</v>
      </c>
      <c r="N53" s="114">
        <f>N54+N55+N56+N57+N59+N60</f>
        <v>50000</v>
      </c>
      <c r="O53" s="157">
        <f t="shared" si="4"/>
        <v>1.3708445346296866E-2</v>
      </c>
      <c r="P53" s="166">
        <f t="shared" si="5"/>
        <v>5</v>
      </c>
    </row>
    <row r="54" spans="1:16" ht="67.5" x14ac:dyDescent="0.2">
      <c r="A54" s="22" t="s">
        <v>166</v>
      </c>
      <c r="B54" s="175" t="s">
        <v>167</v>
      </c>
      <c r="C54" s="26">
        <v>37900</v>
      </c>
      <c r="D54" s="7">
        <v>0</v>
      </c>
      <c r="E54" s="104">
        <v>0</v>
      </c>
      <c r="F54" s="49"/>
      <c r="G54" s="119">
        <v>0</v>
      </c>
      <c r="H54" s="104">
        <v>0</v>
      </c>
      <c r="I54" s="104">
        <v>0</v>
      </c>
      <c r="J54" s="104">
        <v>0</v>
      </c>
      <c r="K54" s="51"/>
      <c r="L54" s="120">
        <v>0</v>
      </c>
      <c r="M54" s="104">
        <v>0</v>
      </c>
      <c r="N54" s="115">
        <v>0</v>
      </c>
      <c r="O54" s="157"/>
      <c r="P54" s="166"/>
    </row>
    <row r="55" spans="1:16" ht="33.75" x14ac:dyDescent="0.2">
      <c r="A55" s="22" t="s">
        <v>156</v>
      </c>
      <c r="B55" s="175" t="s">
        <v>155</v>
      </c>
      <c r="C55" s="26">
        <v>2522500</v>
      </c>
      <c r="D55" s="7">
        <v>2795000</v>
      </c>
      <c r="E55" s="104">
        <v>2846336.61</v>
      </c>
      <c r="F55" s="49">
        <f t="shared" ref="F55:F66" si="39">E55/D55*100</f>
        <v>101.83673023255812</v>
      </c>
      <c r="G55" s="119">
        <v>0</v>
      </c>
      <c r="H55" s="104">
        <v>0</v>
      </c>
      <c r="I55" s="104">
        <v>0</v>
      </c>
      <c r="J55" s="104">
        <v>0</v>
      </c>
      <c r="K55" s="51"/>
      <c r="L55" s="120">
        <v>0</v>
      </c>
      <c r="M55" s="104">
        <v>0</v>
      </c>
      <c r="N55" s="115">
        <v>0</v>
      </c>
      <c r="O55" s="157">
        <f t="shared" si="4"/>
        <v>0</v>
      </c>
      <c r="P55" s="166"/>
    </row>
    <row r="56" spans="1:16" ht="22.5" x14ac:dyDescent="0.2">
      <c r="A56" s="22" t="s">
        <v>151</v>
      </c>
      <c r="B56" s="175" t="s">
        <v>154</v>
      </c>
      <c r="C56" s="26">
        <v>207700</v>
      </c>
      <c r="D56" s="7">
        <v>223400</v>
      </c>
      <c r="E56" s="104">
        <v>225300</v>
      </c>
      <c r="F56" s="49">
        <f t="shared" si="39"/>
        <v>100.85049239033124</v>
      </c>
      <c r="G56" s="119">
        <v>0</v>
      </c>
      <c r="H56" s="104">
        <v>0</v>
      </c>
      <c r="I56" s="104">
        <v>0</v>
      </c>
      <c r="J56" s="104">
        <v>0</v>
      </c>
      <c r="K56" s="51"/>
      <c r="L56" s="120">
        <v>0</v>
      </c>
      <c r="M56" s="104">
        <v>0</v>
      </c>
      <c r="N56" s="115">
        <v>0</v>
      </c>
      <c r="O56" s="157">
        <f t="shared" si="4"/>
        <v>0</v>
      </c>
      <c r="P56" s="166"/>
    </row>
    <row r="57" spans="1:16" ht="56.25" x14ac:dyDescent="0.2">
      <c r="A57" s="22" t="s">
        <v>163</v>
      </c>
      <c r="B57" s="175" t="s">
        <v>164</v>
      </c>
      <c r="C57" s="26">
        <f t="shared" ref="C57:D57" si="40">C58</f>
        <v>754900</v>
      </c>
      <c r="D57" s="7">
        <f t="shared" si="40"/>
        <v>550000</v>
      </c>
      <c r="E57" s="104">
        <v>559000</v>
      </c>
      <c r="F57" s="49">
        <f t="shared" si="39"/>
        <v>101.63636363636364</v>
      </c>
      <c r="G57" s="116">
        <f t="shared" ref="G57" si="41">G58</f>
        <v>0</v>
      </c>
      <c r="H57" s="33">
        <f t="shared" ref="H57" si="42">H58</f>
        <v>0</v>
      </c>
      <c r="I57" s="33">
        <f t="shared" ref="I57:J57" si="43">I58</f>
        <v>0</v>
      </c>
      <c r="J57" s="33">
        <f t="shared" si="43"/>
        <v>0</v>
      </c>
      <c r="K57" s="51"/>
      <c r="L57" s="26">
        <f t="shared" ref="L57:N57" si="44">L58</f>
        <v>0</v>
      </c>
      <c r="M57" s="33">
        <f t="shared" si="44"/>
        <v>0</v>
      </c>
      <c r="N57" s="81">
        <f t="shared" si="44"/>
        <v>0</v>
      </c>
      <c r="O57" s="157">
        <f t="shared" si="4"/>
        <v>0</v>
      </c>
      <c r="P57" s="166"/>
    </row>
    <row r="58" spans="1:16" ht="67.5" x14ac:dyDescent="0.2">
      <c r="A58" s="22" t="s">
        <v>152</v>
      </c>
      <c r="B58" s="175" t="s">
        <v>153</v>
      </c>
      <c r="C58" s="26">
        <v>754900</v>
      </c>
      <c r="D58" s="7">
        <v>550000</v>
      </c>
      <c r="E58" s="104">
        <v>559000</v>
      </c>
      <c r="F58" s="49">
        <f t="shared" si="39"/>
        <v>101.63636363636364</v>
      </c>
      <c r="G58" s="119">
        <v>0</v>
      </c>
      <c r="H58" s="104">
        <v>0</v>
      </c>
      <c r="I58" s="104">
        <v>0</v>
      </c>
      <c r="J58" s="104">
        <v>0</v>
      </c>
      <c r="K58" s="51"/>
      <c r="L58" s="120">
        <v>0</v>
      </c>
      <c r="M58" s="104">
        <v>0</v>
      </c>
      <c r="N58" s="115">
        <v>0</v>
      </c>
      <c r="O58" s="157">
        <f t="shared" si="4"/>
        <v>0</v>
      </c>
      <c r="P58" s="166"/>
    </row>
    <row r="59" spans="1:16" ht="22.5" x14ac:dyDescent="0.2">
      <c r="A59" s="22" t="s">
        <v>73</v>
      </c>
      <c r="B59" s="175" t="s">
        <v>74</v>
      </c>
      <c r="C59" s="26">
        <v>20000</v>
      </c>
      <c r="D59" s="7">
        <v>10000</v>
      </c>
      <c r="E59" s="104">
        <v>10000</v>
      </c>
      <c r="F59" s="49">
        <f t="shared" si="39"/>
        <v>100</v>
      </c>
      <c r="G59" s="116">
        <v>10000</v>
      </c>
      <c r="H59" s="104">
        <v>10000</v>
      </c>
      <c r="I59" s="104">
        <v>5000</v>
      </c>
      <c r="J59" s="104">
        <v>10000</v>
      </c>
      <c r="K59" s="51">
        <f t="shared" si="8"/>
        <v>1</v>
      </c>
      <c r="L59" s="26">
        <v>50000</v>
      </c>
      <c r="M59" s="33">
        <v>50000</v>
      </c>
      <c r="N59" s="81">
        <v>50000</v>
      </c>
      <c r="O59" s="157">
        <f t="shared" si="4"/>
        <v>5</v>
      </c>
      <c r="P59" s="166">
        <f t="shared" si="5"/>
        <v>5</v>
      </c>
    </row>
    <row r="60" spans="1:16" ht="22.5" x14ac:dyDescent="0.2">
      <c r="A60" s="22" t="s">
        <v>326</v>
      </c>
      <c r="B60" s="178" t="s">
        <v>325</v>
      </c>
      <c r="C60" s="112">
        <v>0</v>
      </c>
      <c r="D60" s="7">
        <v>6600</v>
      </c>
      <c r="E60" s="104">
        <v>6750</v>
      </c>
      <c r="F60" s="49">
        <f t="shared" si="39"/>
        <v>102.27272727272727</v>
      </c>
      <c r="G60" s="119">
        <v>0</v>
      </c>
      <c r="H60" s="104">
        <v>0</v>
      </c>
      <c r="I60" s="104">
        <v>0</v>
      </c>
      <c r="J60" s="104">
        <v>0</v>
      </c>
      <c r="K60" s="51"/>
      <c r="L60" s="120">
        <v>0</v>
      </c>
      <c r="M60" s="104">
        <v>0</v>
      </c>
      <c r="N60" s="115">
        <v>0</v>
      </c>
      <c r="O60" s="157">
        <f t="shared" si="4"/>
        <v>0</v>
      </c>
      <c r="P60" s="166"/>
    </row>
    <row r="61" spans="1:16" ht="32.25" x14ac:dyDescent="0.2">
      <c r="A61" s="192" t="s">
        <v>75</v>
      </c>
      <c r="B61" s="177" t="s">
        <v>76</v>
      </c>
      <c r="C61" s="109">
        <f>C62+C70</f>
        <v>50637900</v>
      </c>
      <c r="D61" s="106">
        <f>D62+D70</f>
        <v>58085700</v>
      </c>
      <c r="E61" s="108">
        <v>60731836.68</v>
      </c>
      <c r="F61" s="50">
        <f t="shared" si="39"/>
        <v>104.55557336831613</v>
      </c>
      <c r="G61" s="110">
        <f>G62+G70</f>
        <v>49191834</v>
      </c>
      <c r="H61" s="108">
        <v>66746834</v>
      </c>
      <c r="I61" s="108">
        <f>I62+I70</f>
        <v>80579189.73999998</v>
      </c>
      <c r="J61" s="108">
        <f>J62+J70</f>
        <v>79205625</v>
      </c>
      <c r="K61" s="51">
        <f t="shared" si="8"/>
        <v>1.1866574076007861</v>
      </c>
      <c r="L61" s="109">
        <f t="shared" ref="L61:N61" si="45">L62+L70</f>
        <v>62077600</v>
      </c>
      <c r="M61" s="106">
        <f t="shared" si="45"/>
        <v>62077600</v>
      </c>
      <c r="N61" s="111">
        <f t="shared" si="45"/>
        <v>62077600</v>
      </c>
      <c r="O61" s="158">
        <f t="shared" si="4"/>
        <v>1.0221591078677714</v>
      </c>
      <c r="P61" s="167">
        <f t="shared" si="5"/>
        <v>0.78375241657394912</v>
      </c>
    </row>
    <row r="62" spans="1:16" ht="67.5" x14ac:dyDescent="0.2">
      <c r="A62" s="22" t="s">
        <v>77</v>
      </c>
      <c r="B62" s="175" t="s">
        <v>78</v>
      </c>
      <c r="C62" s="26">
        <f>C63+C65</f>
        <v>50490200</v>
      </c>
      <c r="D62" s="7">
        <f>D63+D65</f>
        <v>57880700</v>
      </c>
      <c r="E62" s="104">
        <v>60523709.509999998</v>
      </c>
      <c r="F62" s="49">
        <f t="shared" si="39"/>
        <v>104.56630536603737</v>
      </c>
      <c r="G62" s="116">
        <f>G63+G65+G67</f>
        <v>48893700</v>
      </c>
      <c r="H62" s="104">
        <v>66448700</v>
      </c>
      <c r="I62" s="104">
        <f>I63+I65+I67</f>
        <v>80319825.499999985</v>
      </c>
      <c r="J62" s="104">
        <f>J63+J65+J67</f>
        <v>78950300</v>
      </c>
      <c r="K62" s="51">
        <f t="shared" si="8"/>
        <v>1.1881391208556376</v>
      </c>
      <c r="L62" s="26">
        <f t="shared" ref="L62:N62" si="46">L63+L65+L67</f>
        <v>60522000</v>
      </c>
      <c r="M62" s="33">
        <f t="shared" si="46"/>
        <v>60522000</v>
      </c>
      <c r="N62" s="81">
        <f t="shared" si="46"/>
        <v>60522000</v>
      </c>
      <c r="O62" s="157">
        <f t="shared" si="4"/>
        <v>0.99997175470548916</v>
      </c>
      <c r="P62" s="166">
        <f t="shared" si="5"/>
        <v>0.76658353419809677</v>
      </c>
    </row>
    <row r="63" spans="1:16" ht="56.25" x14ac:dyDescent="0.2">
      <c r="A63" s="22" t="s">
        <v>79</v>
      </c>
      <c r="B63" s="175" t="s">
        <v>80</v>
      </c>
      <c r="C63" s="26">
        <f t="shared" ref="C63" si="47">C64</f>
        <v>48717500</v>
      </c>
      <c r="D63" s="7">
        <f t="shared" ref="D63" si="48">D64</f>
        <v>55478000</v>
      </c>
      <c r="E63" s="104">
        <v>57641661.119999997</v>
      </c>
      <c r="F63" s="49">
        <f t="shared" si="39"/>
        <v>103.90003446411188</v>
      </c>
      <c r="G63" s="46">
        <f>G64</f>
        <v>46743400</v>
      </c>
      <c r="H63" s="104">
        <v>64298400</v>
      </c>
      <c r="I63" s="104">
        <f>I64</f>
        <v>78062222.319999993</v>
      </c>
      <c r="J63" s="104">
        <f>J64</f>
        <v>76800000</v>
      </c>
      <c r="K63" s="51">
        <f t="shared" si="8"/>
        <v>1.1944309656227838</v>
      </c>
      <c r="L63" s="40">
        <f>L64</f>
        <v>57140000</v>
      </c>
      <c r="M63" s="31">
        <f>M64</f>
        <v>57140000</v>
      </c>
      <c r="N63" s="85">
        <f>N64</f>
        <v>57140000</v>
      </c>
      <c r="O63" s="157">
        <f t="shared" si="4"/>
        <v>0.99129690036247176</v>
      </c>
      <c r="P63" s="166">
        <f t="shared" si="5"/>
        <v>0.74401041666666667</v>
      </c>
    </row>
    <row r="64" spans="1:16" ht="56.25" x14ac:dyDescent="0.2">
      <c r="A64" s="22" t="s">
        <v>81</v>
      </c>
      <c r="B64" s="178" t="s">
        <v>82</v>
      </c>
      <c r="C64" s="26">
        <v>48717500</v>
      </c>
      <c r="D64" s="13">
        <v>55478000</v>
      </c>
      <c r="E64" s="104">
        <v>57641661.119999997</v>
      </c>
      <c r="F64" s="49">
        <f t="shared" si="39"/>
        <v>103.90003446411188</v>
      </c>
      <c r="G64" s="46">
        <v>46743400</v>
      </c>
      <c r="H64" s="104">
        <v>64298400</v>
      </c>
      <c r="I64" s="104">
        <v>78062222.319999993</v>
      </c>
      <c r="J64" s="104">
        <v>76800000</v>
      </c>
      <c r="K64" s="51">
        <f t="shared" si="8"/>
        <v>1.1944309656227838</v>
      </c>
      <c r="L64" s="14">
        <v>57140000</v>
      </c>
      <c r="M64" s="13">
        <v>57140000</v>
      </c>
      <c r="N64" s="89">
        <v>57140000</v>
      </c>
      <c r="O64" s="157">
        <f t="shared" si="4"/>
        <v>0.99129690036247176</v>
      </c>
      <c r="P64" s="166">
        <f t="shared" si="5"/>
        <v>0.74401041666666667</v>
      </c>
    </row>
    <row r="65" spans="1:16" ht="33.75" x14ac:dyDescent="0.2">
      <c r="A65" s="22" t="s">
        <v>255</v>
      </c>
      <c r="B65" s="178" t="s">
        <v>256</v>
      </c>
      <c r="C65" s="26">
        <f t="shared" ref="C65:D65" si="49">C66</f>
        <v>1772700</v>
      </c>
      <c r="D65" s="7">
        <f t="shared" si="49"/>
        <v>2402700</v>
      </c>
      <c r="E65" s="104">
        <v>2882048.39</v>
      </c>
      <c r="F65" s="49">
        <f t="shared" si="39"/>
        <v>119.9504053772839</v>
      </c>
      <c r="G65" s="46">
        <f>G66</f>
        <v>2150300</v>
      </c>
      <c r="H65" s="104">
        <v>2150300</v>
      </c>
      <c r="I65" s="104">
        <f>I66</f>
        <v>2257601.85</v>
      </c>
      <c r="J65" s="104">
        <f>J66</f>
        <v>2150300</v>
      </c>
      <c r="K65" s="51">
        <f t="shared" si="8"/>
        <v>1</v>
      </c>
      <c r="L65" s="40">
        <f>L66</f>
        <v>3382000</v>
      </c>
      <c r="M65" s="31">
        <f>M66</f>
        <v>3382000</v>
      </c>
      <c r="N65" s="85">
        <f>N66</f>
        <v>3382000</v>
      </c>
      <c r="O65" s="157">
        <f t="shared" si="4"/>
        <v>1.17347092843226</v>
      </c>
      <c r="P65" s="166">
        <f t="shared" si="5"/>
        <v>1.5728037948193276</v>
      </c>
    </row>
    <row r="66" spans="1:16" ht="22.5" x14ac:dyDescent="0.2">
      <c r="A66" s="22" t="s">
        <v>257</v>
      </c>
      <c r="B66" s="178" t="s">
        <v>258</v>
      </c>
      <c r="C66" s="26">
        <v>1772700</v>
      </c>
      <c r="D66" s="13">
        <v>2402700</v>
      </c>
      <c r="E66" s="104">
        <v>2882048.39</v>
      </c>
      <c r="F66" s="49">
        <f t="shared" si="39"/>
        <v>119.9504053772839</v>
      </c>
      <c r="G66" s="46">
        <v>2150300</v>
      </c>
      <c r="H66" s="104">
        <v>2150300</v>
      </c>
      <c r="I66" s="104">
        <v>2257601.85</v>
      </c>
      <c r="J66" s="90">
        <v>2150300</v>
      </c>
      <c r="K66" s="51">
        <f t="shared" si="8"/>
        <v>1</v>
      </c>
      <c r="L66" s="16">
        <v>3382000</v>
      </c>
      <c r="M66" s="8">
        <v>3382000</v>
      </c>
      <c r="N66" s="85">
        <v>3382000</v>
      </c>
      <c r="O66" s="157">
        <f t="shared" si="4"/>
        <v>1.17347092843226</v>
      </c>
      <c r="P66" s="166">
        <f t="shared" si="5"/>
        <v>1.5728037948193276</v>
      </c>
    </row>
    <row r="67" spans="1:16" ht="33.75" x14ac:dyDescent="0.2">
      <c r="A67" s="23" t="s">
        <v>363</v>
      </c>
      <c r="B67" s="179" t="s">
        <v>433</v>
      </c>
      <c r="C67" s="26">
        <f>C68</f>
        <v>0</v>
      </c>
      <c r="D67" s="33">
        <f t="shared" ref="D67:D68" si="50">D68</f>
        <v>0</v>
      </c>
      <c r="E67" s="104">
        <v>0.7</v>
      </c>
      <c r="F67" s="49"/>
      <c r="G67" s="116">
        <f>G68</f>
        <v>0</v>
      </c>
      <c r="H67" s="104">
        <v>0</v>
      </c>
      <c r="I67" s="104">
        <f>I68</f>
        <v>1.33</v>
      </c>
      <c r="J67" s="104">
        <f>J68</f>
        <v>0</v>
      </c>
      <c r="K67" s="51"/>
      <c r="L67" s="26">
        <f>L68</f>
        <v>0</v>
      </c>
      <c r="M67" s="104">
        <v>0</v>
      </c>
      <c r="N67" s="115">
        <f>N68</f>
        <v>0</v>
      </c>
      <c r="O67" s="157">
        <f t="shared" si="4"/>
        <v>0</v>
      </c>
      <c r="P67" s="166"/>
    </row>
    <row r="68" spans="1:16" ht="33.75" x14ac:dyDescent="0.2">
      <c r="A68" s="23" t="s">
        <v>364</v>
      </c>
      <c r="B68" s="179" t="s">
        <v>434</v>
      </c>
      <c r="C68" s="26">
        <f>C69</f>
        <v>0</v>
      </c>
      <c r="D68" s="33">
        <f t="shared" si="50"/>
        <v>0</v>
      </c>
      <c r="E68" s="104">
        <v>0.7</v>
      </c>
      <c r="F68" s="49"/>
      <c r="G68" s="116">
        <f>G69</f>
        <v>0</v>
      </c>
      <c r="H68" s="104">
        <v>0</v>
      </c>
      <c r="I68" s="104">
        <f>I69</f>
        <v>1.33</v>
      </c>
      <c r="J68" s="104">
        <f>J69</f>
        <v>0</v>
      </c>
      <c r="K68" s="51"/>
      <c r="L68" s="26">
        <f>L69</f>
        <v>0</v>
      </c>
      <c r="M68" s="104">
        <v>0</v>
      </c>
      <c r="N68" s="115">
        <f>N69</f>
        <v>0</v>
      </c>
      <c r="O68" s="157">
        <f t="shared" si="4"/>
        <v>0</v>
      </c>
      <c r="P68" s="166"/>
    </row>
    <row r="69" spans="1:16" ht="90" x14ac:dyDescent="0.2">
      <c r="A69" s="23" t="s">
        <v>365</v>
      </c>
      <c r="B69" s="179" t="s">
        <v>435</v>
      </c>
      <c r="C69" s="15">
        <v>0</v>
      </c>
      <c r="D69" s="8">
        <v>0</v>
      </c>
      <c r="E69" s="104">
        <v>0.7</v>
      </c>
      <c r="F69" s="49"/>
      <c r="G69" s="43">
        <v>0</v>
      </c>
      <c r="H69" s="104">
        <v>0</v>
      </c>
      <c r="I69" s="104">
        <v>1.33</v>
      </c>
      <c r="J69" s="104">
        <v>0</v>
      </c>
      <c r="K69" s="51"/>
      <c r="L69" s="15">
        <v>0</v>
      </c>
      <c r="M69" s="104">
        <v>0</v>
      </c>
      <c r="N69" s="115">
        <v>0</v>
      </c>
      <c r="O69" s="157">
        <f t="shared" si="4"/>
        <v>0</v>
      </c>
      <c r="P69" s="166"/>
    </row>
    <row r="70" spans="1:16" ht="67.5" x14ac:dyDescent="0.2">
      <c r="A70" s="22" t="s">
        <v>83</v>
      </c>
      <c r="B70" s="175" t="s">
        <v>84</v>
      </c>
      <c r="C70" s="26">
        <f t="shared" ref="C70:C71" si="51">C71</f>
        <v>147700</v>
      </c>
      <c r="D70" s="7">
        <f t="shared" ref="D70:D71" si="52">D71</f>
        <v>205000</v>
      </c>
      <c r="E70" s="104">
        <v>208126.47</v>
      </c>
      <c r="F70" s="49">
        <f>E70/D70*100</f>
        <v>101.52510731707318</v>
      </c>
      <c r="G70" s="46">
        <f>G71+G73</f>
        <v>298134</v>
      </c>
      <c r="H70" s="104">
        <v>298134</v>
      </c>
      <c r="I70" s="104">
        <f>I71+I73</f>
        <v>259364.24</v>
      </c>
      <c r="J70" s="104">
        <f>J71+J73</f>
        <v>255325</v>
      </c>
      <c r="K70" s="51">
        <f t="shared" si="8"/>
        <v>0.85641020480723429</v>
      </c>
      <c r="L70" s="40">
        <f>L71+L73</f>
        <v>1555600</v>
      </c>
      <c r="M70" s="31">
        <f t="shared" ref="M70:N70" si="53">M71+M73</f>
        <v>1555600</v>
      </c>
      <c r="N70" s="79">
        <f t="shared" si="53"/>
        <v>1555600</v>
      </c>
      <c r="O70" s="157">
        <f t="shared" si="4"/>
        <v>7.4743015628910632</v>
      </c>
      <c r="P70" s="166">
        <f t="shared" si="5"/>
        <v>6.0926270439635761</v>
      </c>
    </row>
    <row r="71" spans="1:16" ht="67.5" x14ac:dyDescent="0.2">
      <c r="A71" s="22" t="s">
        <v>85</v>
      </c>
      <c r="B71" s="175" t="s">
        <v>86</v>
      </c>
      <c r="C71" s="26">
        <f t="shared" si="51"/>
        <v>147700</v>
      </c>
      <c r="D71" s="7">
        <f t="shared" si="52"/>
        <v>205000</v>
      </c>
      <c r="E71" s="104">
        <v>208126.47</v>
      </c>
      <c r="F71" s="49">
        <f>E71/D71*100</f>
        <v>101.52510731707318</v>
      </c>
      <c r="G71" s="46">
        <f>G72</f>
        <v>176800</v>
      </c>
      <c r="H71" s="104">
        <v>176800</v>
      </c>
      <c r="I71" s="104">
        <f>I72</f>
        <v>173238.28</v>
      </c>
      <c r="J71" s="104">
        <f>J72</f>
        <v>176800</v>
      </c>
      <c r="K71" s="51">
        <f t="shared" si="8"/>
        <v>1</v>
      </c>
      <c r="L71" s="40">
        <f>L72</f>
        <v>178600</v>
      </c>
      <c r="M71" s="31">
        <f t="shared" ref="M71:N71" si="54">M72</f>
        <v>178600</v>
      </c>
      <c r="N71" s="79">
        <f t="shared" si="54"/>
        <v>178600</v>
      </c>
      <c r="O71" s="157">
        <f t="shared" ref="O71:O134" si="55">L71/E71</f>
        <v>0.85813207709716111</v>
      </c>
      <c r="P71" s="166">
        <f t="shared" ref="P71:P134" si="56">L71/J71</f>
        <v>1.0101809954751131</v>
      </c>
    </row>
    <row r="72" spans="1:16" ht="56.25" x14ac:dyDescent="0.2">
      <c r="A72" s="22" t="s">
        <v>87</v>
      </c>
      <c r="B72" s="175" t="s">
        <v>88</v>
      </c>
      <c r="C72" s="26">
        <v>147700</v>
      </c>
      <c r="D72" s="7">
        <v>205000</v>
      </c>
      <c r="E72" s="104">
        <v>208126.47</v>
      </c>
      <c r="F72" s="49">
        <f>E72/D72*100</f>
        <v>101.52510731707318</v>
      </c>
      <c r="G72" s="46">
        <v>176800</v>
      </c>
      <c r="H72" s="104">
        <v>176800</v>
      </c>
      <c r="I72" s="104">
        <v>173238.28</v>
      </c>
      <c r="J72" s="90">
        <v>176800</v>
      </c>
      <c r="K72" s="51">
        <f t="shared" si="8"/>
        <v>1</v>
      </c>
      <c r="L72" s="14">
        <v>178600</v>
      </c>
      <c r="M72" s="13">
        <v>178600</v>
      </c>
      <c r="N72" s="89">
        <v>178600</v>
      </c>
      <c r="O72" s="157">
        <f t="shared" si="55"/>
        <v>0.85813207709716111</v>
      </c>
      <c r="P72" s="166">
        <f t="shared" si="56"/>
        <v>1.0101809954751131</v>
      </c>
    </row>
    <row r="73" spans="1:16" ht="78.75" x14ac:dyDescent="0.2">
      <c r="A73" s="24" t="s">
        <v>381</v>
      </c>
      <c r="B73" s="176" t="s">
        <v>436</v>
      </c>
      <c r="C73" s="40">
        <f t="shared" ref="C73:E73" si="57">C74</f>
        <v>0</v>
      </c>
      <c r="D73" s="31">
        <f t="shared" si="57"/>
        <v>0</v>
      </c>
      <c r="E73" s="31">
        <f t="shared" si="57"/>
        <v>0</v>
      </c>
      <c r="F73" s="49"/>
      <c r="G73" s="46">
        <f>G74</f>
        <v>121334</v>
      </c>
      <c r="H73" s="104">
        <v>121334</v>
      </c>
      <c r="I73" s="104">
        <f>I74</f>
        <v>86125.96</v>
      </c>
      <c r="J73" s="104">
        <f>J74</f>
        <v>78525</v>
      </c>
      <c r="K73" s="51">
        <f t="shared" ref="K73:K135" si="58">J73/H73</f>
        <v>0.64718050999719778</v>
      </c>
      <c r="L73" s="120">
        <f>L74</f>
        <v>1377000</v>
      </c>
      <c r="M73" s="104">
        <f t="shared" ref="M73:N73" si="59">M74</f>
        <v>1377000</v>
      </c>
      <c r="N73" s="115">
        <f t="shared" si="59"/>
        <v>1377000</v>
      </c>
      <c r="O73" s="157"/>
      <c r="P73" s="166">
        <f t="shared" si="56"/>
        <v>17.535816618911173</v>
      </c>
    </row>
    <row r="74" spans="1:16" ht="78.75" x14ac:dyDescent="0.2">
      <c r="A74" s="24" t="s">
        <v>382</v>
      </c>
      <c r="B74" s="176" t="s">
        <v>437</v>
      </c>
      <c r="C74" s="26">
        <v>0</v>
      </c>
      <c r="D74" s="7">
        <v>0</v>
      </c>
      <c r="E74" s="104">
        <v>0</v>
      </c>
      <c r="F74" s="49"/>
      <c r="G74" s="46">
        <v>121334</v>
      </c>
      <c r="H74" s="104">
        <v>121334</v>
      </c>
      <c r="I74" s="104">
        <v>86125.96</v>
      </c>
      <c r="J74" s="104">
        <v>78525</v>
      </c>
      <c r="K74" s="51">
        <f t="shared" si="58"/>
        <v>0.64718050999719778</v>
      </c>
      <c r="L74" s="16">
        <v>1377000</v>
      </c>
      <c r="M74" s="8">
        <v>1377000</v>
      </c>
      <c r="N74" s="85">
        <v>1377000</v>
      </c>
      <c r="O74" s="157"/>
      <c r="P74" s="166">
        <f t="shared" si="56"/>
        <v>17.535816618911173</v>
      </c>
    </row>
    <row r="75" spans="1:16" ht="21.75" x14ac:dyDescent="0.2">
      <c r="A75" s="192" t="s">
        <v>89</v>
      </c>
      <c r="B75" s="177" t="s">
        <v>90</v>
      </c>
      <c r="C75" s="109">
        <f t="shared" ref="C75:D75" si="60">C76</f>
        <v>1612800</v>
      </c>
      <c r="D75" s="106">
        <f t="shared" si="60"/>
        <v>1433270</v>
      </c>
      <c r="E75" s="108">
        <v>1628735.44</v>
      </c>
      <c r="F75" s="50">
        <f t="shared" ref="F75:F87" si="61">E75/D75*100</f>
        <v>113.63772631813964</v>
      </c>
      <c r="G75" s="107">
        <f>G76</f>
        <v>1997970</v>
      </c>
      <c r="H75" s="108">
        <v>4397970</v>
      </c>
      <c r="I75" s="108">
        <v>4581487.43</v>
      </c>
      <c r="J75" s="108">
        <f>J76</f>
        <v>4582000</v>
      </c>
      <c r="K75" s="51">
        <f t="shared" si="58"/>
        <v>1.0418443054409194</v>
      </c>
      <c r="L75" s="52">
        <f>L76</f>
        <v>3056400</v>
      </c>
      <c r="M75" s="32">
        <f t="shared" ref="M75:N75" si="62">M76</f>
        <v>3056400</v>
      </c>
      <c r="N75" s="80">
        <f t="shared" si="62"/>
        <v>3056400</v>
      </c>
      <c r="O75" s="158">
        <f t="shared" si="55"/>
        <v>1.8765478572750895</v>
      </c>
      <c r="P75" s="167">
        <f t="shared" si="56"/>
        <v>0.66704495853339152</v>
      </c>
    </row>
    <row r="76" spans="1:16" x14ac:dyDescent="0.2">
      <c r="A76" s="22" t="s">
        <v>91</v>
      </c>
      <c r="B76" s="175" t="s">
        <v>92</v>
      </c>
      <c r="C76" s="112">
        <f t="shared" ref="C76" si="63">C77+C78+C79+C82</f>
        <v>1612800</v>
      </c>
      <c r="D76" s="7">
        <f>D77+D78+D79+D82</f>
        <v>1433270</v>
      </c>
      <c r="E76" s="104">
        <v>1628735.44</v>
      </c>
      <c r="F76" s="49">
        <f t="shared" si="61"/>
        <v>113.63772631813964</v>
      </c>
      <c r="G76" s="46">
        <f>G77+G78+G79+G82</f>
        <v>1997970</v>
      </c>
      <c r="H76" s="104">
        <v>4397970</v>
      </c>
      <c r="I76" s="104">
        <v>4581487.43</v>
      </c>
      <c r="J76" s="104">
        <f>J77+J78+J79+J82</f>
        <v>4582000</v>
      </c>
      <c r="K76" s="51">
        <f t="shared" si="58"/>
        <v>1.0418443054409194</v>
      </c>
      <c r="L76" s="40">
        <f>L77+L78+L79</f>
        <v>3056400</v>
      </c>
      <c r="M76" s="31">
        <f t="shared" ref="M76:N76" si="64">M77+M78+M79</f>
        <v>3056400</v>
      </c>
      <c r="N76" s="79">
        <f t="shared" si="64"/>
        <v>3056400</v>
      </c>
      <c r="O76" s="157">
        <f t="shared" si="55"/>
        <v>1.8765478572750895</v>
      </c>
      <c r="P76" s="166">
        <f t="shared" si="56"/>
        <v>0.66704495853339152</v>
      </c>
    </row>
    <row r="77" spans="1:16" ht="22.5" x14ac:dyDescent="0.2">
      <c r="A77" s="22" t="s">
        <v>93</v>
      </c>
      <c r="B77" s="175" t="s">
        <v>94</v>
      </c>
      <c r="C77" s="26">
        <f>694720*60%-2</f>
        <v>416830</v>
      </c>
      <c r="D77" s="104">
        <v>120000</v>
      </c>
      <c r="E77" s="104">
        <v>28273.45</v>
      </c>
      <c r="F77" s="49">
        <f t="shared" si="61"/>
        <v>23.561208333333333</v>
      </c>
      <c r="G77" s="46">
        <f>216366-11868</f>
        <v>204498</v>
      </c>
      <c r="H77" s="104">
        <v>2204498</v>
      </c>
      <c r="I77" s="104">
        <v>2665355.4700000002</v>
      </c>
      <c r="J77" s="104">
        <v>2665000</v>
      </c>
      <c r="K77" s="51">
        <f t="shared" si="58"/>
        <v>1.2088920017164906</v>
      </c>
      <c r="L77" s="54">
        <v>2785800</v>
      </c>
      <c r="M77" s="35">
        <v>2785800</v>
      </c>
      <c r="N77" s="83">
        <v>2785800</v>
      </c>
      <c r="O77" s="157">
        <f t="shared" si="55"/>
        <v>98.530600262790713</v>
      </c>
      <c r="P77" s="166">
        <f t="shared" si="56"/>
        <v>1.0453283302063789</v>
      </c>
    </row>
    <row r="78" spans="1:16" x14ac:dyDescent="0.2">
      <c r="A78" s="22" t="s">
        <v>95</v>
      </c>
      <c r="B78" s="175" t="s">
        <v>96</v>
      </c>
      <c r="C78" s="26">
        <f>624000*60%</f>
        <v>374400</v>
      </c>
      <c r="D78" s="104">
        <v>700000</v>
      </c>
      <c r="E78" s="104">
        <v>634174.93999999994</v>
      </c>
      <c r="F78" s="49">
        <f t="shared" si="61"/>
        <v>90.596419999999995</v>
      </c>
      <c r="G78" s="46">
        <f>831432+289224+1</f>
        <v>1120657</v>
      </c>
      <c r="H78" s="104">
        <v>1120657</v>
      </c>
      <c r="I78" s="104">
        <v>618571.16</v>
      </c>
      <c r="J78" s="104">
        <v>619000</v>
      </c>
      <c r="K78" s="51">
        <f t="shared" si="58"/>
        <v>0.55235455630045593</v>
      </c>
      <c r="L78" s="26">
        <v>181200</v>
      </c>
      <c r="M78" s="33">
        <v>181200</v>
      </c>
      <c r="N78" s="81">
        <v>181200</v>
      </c>
      <c r="O78" s="157">
        <f t="shared" si="55"/>
        <v>0.28572557597435183</v>
      </c>
      <c r="P78" s="166">
        <f t="shared" si="56"/>
        <v>0.29273021001615507</v>
      </c>
    </row>
    <row r="79" spans="1:16" x14ac:dyDescent="0.2">
      <c r="A79" s="22" t="s">
        <v>97</v>
      </c>
      <c r="B79" s="175" t="s">
        <v>168</v>
      </c>
      <c r="C79" s="26">
        <f>C80+C81</f>
        <v>821570</v>
      </c>
      <c r="D79" s="104">
        <f>D80+D81</f>
        <v>613000</v>
      </c>
      <c r="E79" s="104">
        <v>966025.99</v>
      </c>
      <c r="F79" s="49">
        <f t="shared" si="61"/>
        <v>157.58988417618272</v>
      </c>
      <c r="G79" s="46">
        <f>G80+G81</f>
        <v>672520</v>
      </c>
      <c r="H79" s="104">
        <v>1072520</v>
      </c>
      <c r="I79" s="104">
        <v>1297560.8</v>
      </c>
      <c r="J79" s="104">
        <f>J80+J81</f>
        <v>1298000</v>
      </c>
      <c r="K79" s="51">
        <f t="shared" si="58"/>
        <v>1.21023384179316</v>
      </c>
      <c r="L79" s="40">
        <f>L80</f>
        <v>89400</v>
      </c>
      <c r="M79" s="31">
        <f t="shared" ref="M79:N79" si="65">M80</f>
        <v>89400</v>
      </c>
      <c r="N79" s="79">
        <f t="shared" si="65"/>
        <v>89400</v>
      </c>
      <c r="O79" s="157">
        <f t="shared" si="55"/>
        <v>9.2544093974117614E-2</v>
      </c>
      <c r="P79" s="166">
        <f t="shared" si="56"/>
        <v>6.8875192604006166E-2</v>
      </c>
    </row>
    <row r="80" spans="1:16" x14ac:dyDescent="0.2">
      <c r="A80" s="22" t="s">
        <v>169</v>
      </c>
      <c r="B80" s="175" t="s">
        <v>165</v>
      </c>
      <c r="C80" s="16">
        <f>578970*60%-32</f>
        <v>347350</v>
      </c>
      <c r="D80" s="104">
        <v>103000</v>
      </c>
      <c r="E80" s="104">
        <v>102288.47</v>
      </c>
      <c r="F80" s="49">
        <f t="shared" si="61"/>
        <v>99.30919417475728</v>
      </c>
      <c r="G80" s="46">
        <f>174648-47130+2</f>
        <v>127520</v>
      </c>
      <c r="H80" s="104">
        <v>527520</v>
      </c>
      <c r="I80" s="104">
        <v>979560.8</v>
      </c>
      <c r="J80" s="104">
        <v>980000</v>
      </c>
      <c r="K80" s="51">
        <f t="shared" si="58"/>
        <v>1.8577494692144374</v>
      </c>
      <c r="L80" s="26">
        <v>89400</v>
      </c>
      <c r="M80" s="33">
        <v>89400</v>
      </c>
      <c r="N80" s="81">
        <v>89400</v>
      </c>
      <c r="O80" s="157">
        <f t="shared" si="55"/>
        <v>0.87399879966921001</v>
      </c>
      <c r="P80" s="166">
        <f t="shared" si="56"/>
        <v>9.1224489795918365E-2</v>
      </c>
    </row>
    <row r="81" spans="1:16" x14ac:dyDescent="0.2">
      <c r="A81" s="22" t="s">
        <v>204</v>
      </c>
      <c r="B81" s="178" t="s">
        <v>203</v>
      </c>
      <c r="C81" s="16">
        <f>790400*60%-20</f>
        <v>474220</v>
      </c>
      <c r="D81" s="104">
        <v>510000</v>
      </c>
      <c r="E81" s="104">
        <v>863737.52</v>
      </c>
      <c r="F81" s="49">
        <f t="shared" si="61"/>
        <v>169.36029803921568</v>
      </c>
      <c r="G81" s="46">
        <f>286314+258684+2</f>
        <v>545000</v>
      </c>
      <c r="H81" s="104">
        <v>545000</v>
      </c>
      <c r="I81" s="104">
        <v>318000</v>
      </c>
      <c r="J81" s="104">
        <v>318000</v>
      </c>
      <c r="K81" s="51">
        <f t="shared" si="58"/>
        <v>0.58348623853211012</v>
      </c>
      <c r="L81" s="120">
        <v>0</v>
      </c>
      <c r="M81" s="104">
        <v>0</v>
      </c>
      <c r="N81" s="115">
        <v>0</v>
      </c>
      <c r="O81" s="157">
        <f t="shared" si="55"/>
        <v>0</v>
      </c>
      <c r="P81" s="166">
        <f t="shared" si="56"/>
        <v>0</v>
      </c>
    </row>
    <row r="82" spans="1:16" ht="33.75" x14ac:dyDescent="0.2">
      <c r="A82" s="22" t="s">
        <v>327</v>
      </c>
      <c r="B82" s="178" t="s">
        <v>328</v>
      </c>
      <c r="C82" s="15">
        <v>0</v>
      </c>
      <c r="D82" s="104">
        <v>270</v>
      </c>
      <c r="E82" s="104">
        <v>261.06</v>
      </c>
      <c r="F82" s="49">
        <f t="shared" si="61"/>
        <v>96.688888888888897</v>
      </c>
      <c r="G82" s="46">
        <f>0+294+1</f>
        <v>295</v>
      </c>
      <c r="H82" s="104">
        <v>295</v>
      </c>
      <c r="I82" s="104">
        <v>0</v>
      </c>
      <c r="J82" s="104">
        <v>0</v>
      </c>
      <c r="K82" s="51">
        <f t="shared" si="58"/>
        <v>0</v>
      </c>
      <c r="L82" s="120">
        <v>0</v>
      </c>
      <c r="M82" s="104">
        <v>0</v>
      </c>
      <c r="N82" s="115">
        <v>0</v>
      </c>
      <c r="O82" s="157">
        <f t="shared" si="55"/>
        <v>0</v>
      </c>
      <c r="P82" s="166"/>
    </row>
    <row r="83" spans="1:16" ht="22.5" customHeight="1" x14ac:dyDescent="0.2">
      <c r="A83" s="192" t="s">
        <v>98</v>
      </c>
      <c r="B83" s="177" t="s">
        <v>99</v>
      </c>
      <c r="C83" s="53">
        <f>C84</f>
        <v>349800</v>
      </c>
      <c r="D83" s="106">
        <f>D84</f>
        <v>3108819</v>
      </c>
      <c r="E83" s="108">
        <v>3120087.72</v>
      </c>
      <c r="F83" s="50">
        <f t="shared" si="61"/>
        <v>100.36247591127049</v>
      </c>
      <c r="G83" s="107">
        <f>G84</f>
        <v>116349</v>
      </c>
      <c r="H83" s="108">
        <v>857492.78</v>
      </c>
      <c r="I83" s="108">
        <f t="shared" ref="I83:J85" si="66">I84</f>
        <v>986584.37</v>
      </c>
      <c r="J83" s="108">
        <f t="shared" si="66"/>
        <v>980000</v>
      </c>
      <c r="K83" s="51">
        <f t="shared" si="58"/>
        <v>1.1428667655953908</v>
      </c>
      <c r="L83" s="52">
        <f>L84</f>
        <v>159800</v>
      </c>
      <c r="M83" s="32">
        <f t="shared" ref="M83:N85" si="67">M84</f>
        <v>159800</v>
      </c>
      <c r="N83" s="80">
        <f t="shared" si="67"/>
        <v>159800</v>
      </c>
      <c r="O83" s="158">
        <f t="shared" si="55"/>
        <v>5.1216508746106663E-2</v>
      </c>
      <c r="P83" s="167">
        <f t="shared" si="56"/>
        <v>0.16306122448979593</v>
      </c>
    </row>
    <row r="84" spans="1:16" x14ac:dyDescent="0.2">
      <c r="A84" s="22" t="s">
        <v>100</v>
      </c>
      <c r="B84" s="178" t="s">
        <v>101</v>
      </c>
      <c r="C84" s="26">
        <f t="shared" ref="C84:C85" si="68">C85</f>
        <v>349800</v>
      </c>
      <c r="D84" s="7">
        <f t="shared" ref="D84:D85" si="69">D85</f>
        <v>3108819</v>
      </c>
      <c r="E84" s="104">
        <v>3120087.72</v>
      </c>
      <c r="F84" s="49">
        <f t="shared" si="61"/>
        <v>100.36247591127049</v>
      </c>
      <c r="G84" s="46">
        <f>G85</f>
        <v>116349</v>
      </c>
      <c r="H84" s="104">
        <v>857492.78</v>
      </c>
      <c r="I84" s="104">
        <f t="shared" si="66"/>
        <v>986584.37</v>
      </c>
      <c r="J84" s="104">
        <f t="shared" si="66"/>
        <v>980000</v>
      </c>
      <c r="K84" s="51">
        <f t="shared" si="58"/>
        <v>1.1428667655953908</v>
      </c>
      <c r="L84" s="40">
        <f>L85</f>
        <v>159800</v>
      </c>
      <c r="M84" s="31">
        <f t="shared" si="67"/>
        <v>159800</v>
      </c>
      <c r="N84" s="79">
        <f t="shared" si="67"/>
        <v>159800</v>
      </c>
      <c r="O84" s="157">
        <f t="shared" si="55"/>
        <v>5.1216508746106663E-2</v>
      </c>
      <c r="P84" s="166">
        <f t="shared" si="56"/>
        <v>0.16306122448979593</v>
      </c>
    </row>
    <row r="85" spans="1:16" x14ac:dyDescent="0.2">
      <c r="A85" s="22" t="s">
        <v>102</v>
      </c>
      <c r="B85" s="178" t="s">
        <v>103</v>
      </c>
      <c r="C85" s="26">
        <f t="shared" si="68"/>
        <v>349800</v>
      </c>
      <c r="D85" s="7">
        <f t="shared" si="69"/>
        <v>3108819</v>
      </c>
      <c r="E85" s="104">
        <v>3120087.72</v>
      </c>
      <c r="F85" s="49">
        <f t="shared" si="61"/>
        <v>100.36247591127049</v>
      </c>
      <c r="G85" s="46">
        <f>G86</f>
        <v>116349</v>
      </c>
      <c r="H85" s="104">
        <v>857492.78</v>
      </c>
      <c r="I85" s="104">
        <f t="shared" si="66"/>
        <v>986584.37</v>
      </c>
      <c r="J85" s="104">
        <f t="shared" si="66"/>
        <v>980000</v>
      </c>
      <c r="K85" s="51">
        <f t="shared" si="58"/>
        <v>1.1428667655953908</v>
      </c>
      <c r="L85" s="40">
        <f>L86</f>
        <v>159800</v>
      </c>
      <c r="M85" s="31">
        <f t="shared" si="67"/>
        <v>159800</v>
      </c>
      <c r="N85" s="79">
        <f t="shared" si="67"/>
        <v>159800</v>
      </c>
      <c r="O85" s="157">
        <f t="shared" si="55"/>
        <v>5.1216508746106663E-2</v>
      </c>
      <c r="P85" s="166">
        <f t="shared" si="56"/>
        <v>0.16306122448979593</v>
      </c>
    </row>
    <row r="86" spans="1:16" ht="22.5" x14ac:dyDescent="0.2">
      <c r="A86" s="22" t="s">
        <v>104</v>
      </c>
      <c r="B86" s="178" t="s">
        <v>105</v>
      </c>
      <c r="C86" s="26">
        <v>349800</v>
      </c>
      <c r="D86" s="13">
        <v>3108819</v>
      </c>
      <c r="E86" s="104">
        <v>3120087.72</v>
      </c>
      <c r="F86" s="49">
        <f t="shared" si="61"/>
        <v>100.36247591127049</v>
      </c>
      <c r="G86" s="46">
        <v>116349</v>
      </c>
      <c r="H86" s="104">
        <v>857492.78</v>
      </c>
      <c r="I86" s="104">
        <v>986584.37</v>
      </c>
      <c r="J86" s="104">
        <v>980000</v>
      </c>
      <c r="K86" s="51">
        <f t="shared" si="58"/>
        <v>1.1428667655953908</v>
      </c>
      <c r="L86" s="40">
        <v>159800</v>
      </c>
      <c r="M86" s="31">
        <v>159800</v>
      </c>
      <c r="N86" s="79">
        <v>159800</v>
      </c>
      <c r="O86" s="157">
        <f t="shared" si="55"/>
        <v>5.1216508746106663E-2</v>
      </c>
      <c r="P86" s="166">
        <f t="shared" si="56"/>
        <v>0.16306122448979593</v>
      </c>
    </row>
    <row r="87" spans="1:16" ht="21.75" x14ac:dyDescent="0.2">
      <c r="A87" s="192" t="s">
        <v>106</v>
      </c>
      <c r="B87" s="177" t="s">
        <v>107</v>
      </c>
      <c r="C87" s="53">
        <f t="shared" ref="C87:D87" si="70">C88+C91</f>
        <v>2977300</v>
      </c>
      <c r="D87" s="106">
        <f t="shared" si="70"/>
        <v>1297000</v>
      </c>
      <c r="E87" s="108">
        <v>1305375.6599999999</v>
      </c>
      <c r="F87" s="50">
        <f t="shared" si="61"/>
        <v>100.64577178103316</v>
      </c>
      <c r="G87" s="107">
        <f>G88+G91</f>
        <v>3163700</v>
      </c>
      <c r="H87" s="108">
        <v>3163700</v>
      </c>
      <c r="I87" s="108">
        <f>I88+I91</f>
        <v>3989274.58</v>
      </c>
      <c r="J87" s="108">
        <f>J88+J91</f>
        <v>4444000</v>
      </c>
      <c r="K87" s="51">
        <f t="shared" si="58"/>
        <v>1.4046843885324145</v>
      </c>
      <c r="L87" s="52">
        <f>L88+L91</f>
        <v>1678700</v>
      </c>
      <c r="M87" s="32">
        <f t="shared" ref="M87:N87" si="71">M88+M91</f>
        <v>1678700</v>
      </c>
      <c r="N87" s="80">
        <f t="shared" si="71"/>
        <v>1678700</v>
      </c>
      <c r="O87" s="158">
        <f t="shared" si="55"/>
        <v>1.2859899655245604</v>
      </c>
      <c r="P87" s="167">
        <f t="shared" si="56"/>
        <v>0.37774527452745277</v>
      </c>
    </row>
    <row r="88" spans="1:16" ht="67.5" x14ac:dyDescent="0.2">
      <c r="A88" s="22" t="s">
        <v>108</v>
      </c>
      <c r="B88" s="175" t="s">
        <v>109</v>
      </c>
      <c r="C88" s="26">
        <f t="shared" ref="C88:C89" si="72">C89</f>
        <v>1671300</v>
      </c>
      <c r="D88" s="7">
        <f t="shared" ref="D88:D89" si="73">D89</f>
        <v>0</v>
      </c>
      <c r="E88" s="104">
        <v>0</v>
      </c>
      <c r="F88" s="49"/>
      <c r="G88" s="46">
        <f>G89</f>
        <v>1561000</v>
      </c>
      <c r="H88" s="104">
        <v>1561000</v>
      </c>
      <c r="I88" s="104">
        <f>I89</f>
        <v>1149835</v>
      </c>
      <c r="J88" s="104">
        <f>J89</f>
        <v>1561000</v>
      </c>
      <c r="K88" s="51">
        <f t="shared" si="58"/>
        <v>1</v>
      </c>
      <c r="L88" s="40">
        <f>L89</f>
        <v>575000</v>
      </c>
      <c r="M88" s="31">
        <f t="shared" ref="M88:N89" si="74">M89</f>
        <v>575000</v>
      </c>
      <c r="N88" s="79">
        <f t="shared" si="74"/>
        <v>575000</v>
      </c>
      <c r="O88" s="157"/>
      <c r="P88" s="166">
        <f t="shared" si="56"/>
        <v>0.36835361947469569</v>
      </c>
    </row>
    <row r="89" spans="1:16" ht="67.5" x14ac:dyDescent="0.2">
      <c r="A89" s="22" t="s">
        <v>110</v>
      </c>
      <c r="B89" s="175" t="s">
        <v>111</v>
      </c>
      <c r="C89" s="26">
        <f t="shared" si="72"/>
        <v>1671300</v>
      </c>
      <c r="D89" s="7">
        <f t="shared" si="73"/>
        <v>0</v>
      </c>
      <c r="E89" s="104">
        <v>0</v>
      </c>
      <c r="F89" s="49"/>
      <c r="G89" s="46">
        <f>G90</f>
        <v>1561000</v>
      </c>
      <c r="H89" s="104">
        <v>1561000</v>
      </c>
      <c r="I89" s="104">
        <f>I90</f>
        <v>1149835</v>
      </c>
      <c r="J89" s="104">
        <f>J90</f>
        <v>1561000</v>
      </c>
      <c r="K89" s="51">
        <f t="shared" si="58"/>
        <v>1</v>
      </c>
      <c r="L89" s="40">
        <f>L90</f>
        <v>575000</v>
      </c>
      <c r="M89" s="31">
        <f t="shared" si="74"/>
        <v>575000</v>
      </c>
      <c r="N89" s="79">
        <f t="shared" si="74"/>
        <v>575000</v>
      </c>
      <c r="O89" s="157"/>
      <c r="P89" s="166">
        <f t="shared" si="56"/>
        <v>0.36835361947469569</v>
      </c>
    </row>
    <row r="90" spans="1:16" ht="67.5" x14ac:dyDescent="0.2">
      <c r="A90" s="22" t="s">
        <v>112</v>
      </c>
      <c r="B90" s="175" t="s">
        <v>113</v>
      </c>
      <c r="C90" s="26">
        <v>1671300</v>
      </c>
      <c r="D90" s="7">
        <v>0</v>
      </c>
      <c r="E90" s="104">
        <v>0</v>
      </c>
      <c r="F90" s="49"/>
      <c r="G90" s="46">
        <v>1561000</v>
      </c>
      <c r="H90" s="104">
        <v>1561000</v>
      </c>
      <c r="I90" s="104">
        <v>1149835</v>
      </c>
      <c r="J90" s="90">
        <v>1561000</v>
      </c>
      <c r="K90" s="51">
        <f t="shared" si="58"/>
        <v>1</v>
      </c>
      <c r="L90" s="40">
        <v>575000</v>
      </c>
      <c r="M90" s="31">
        <v>575000</v>
      </c>
      <c r="N90" s="79">
        <v>575000</v>
      </c>
      <c r="O90" s="157"/>
      <c r="P90" s="166">
        <f t="shared" si="56"/>
        <v>0.36835361947469569</v>
      </c>
    </row>
    <row r="91" spans="1:16" ht="22.5" x14ac:dyDescent="0.2">
      <c r="A91" s="22" t="s">
        <v>114</v>
      </c>
      <c r="B91" s="175" t="s">
        <v>115</v>
      </c>
      <c r="C91" s="26">
        <f t="shared" ref="C91:C92" si="75">C92</f>
        <v>1306000</v>
      </c>
      <c r="D91" s="7">
        <f t="shared" ref="D91:D92" si="76">D92</f>
        <v>1297000</v>
      </c>
      <c r="E91" s="104">
        <v>1305375.6599999999</v>
      </c>
      <c r="F91" s="49">
        <f t="shared" ref="F91:F103" si="77">E91/D91*100</f>
        <v>100.64577178103316</v>
      </c>
      <c r="G91" s="46">
        <f t="shared" ref="G91:G92" si="78">G92</f>
        <v>1602700</v>
      </c>
      <c r="H91" s="104">
        <v>1602700</v>
      </c>
      <c r="I91" s="104">
        <f>I92</f>
        <v>2839439.58</v>
      </c>
      <c r="J91" s="104">
        <f>J92</f>
        <v>2883000</v>
      </c>
      <c r="K91" s="51">
        <f t="shared" si="58"/>
        <v>1.7988394584139265</v>
      </c>
      <c r="L91" s="40">
        <f t="shared" ref="L91:N92" si="79">L92</f>
        <v>1103700</v>
      </c>
      <c r="M91" s="31">
        <f t="shared" si="79"/>
        <v>1103700</v>
      </c>
      <c r="N91" s="85">
        <f t="shared" si="79"/>
        <v>1103700</v>
      </c>
      <c r="O91" s="157">
        <f t="shared" si="55"/>
        <v>0.84550373798144829</v>
      </c>
      <c r="P91" s="166">
        <f t="shared" si="56"/>
        <v>0.38283038501560873</v>
      </c>
    </row>
    <row r="92" spans="1:16" ht="22.5" x14ac:dyDescent="0.2">
      <c r="A92" s="22" t="s">
        <v>116</v>
      </c>
      <c r="B92" s="175" t="s">
        <v>117</v>
      </c>
      <c r="C92" s="26">
        <f t="shared" si="75"/>
        <v>1306000</v>
      </c>
      <c r="D92" s="7">
        <f t="shared" si="76"/>
        <v>1297000</v>
      </c>
      <c r="E92" s="104">
        <v>1305375.6599999999</v>
      </c>
      <c r="F92" s="49">
        <f t="shared" si="77"/>
        <v>100.64577178103316</v>
      </c>
      <c r="G92" s="46">
        <f t="shared" si="78"/>
        <v>1602700</v>
      </c>
      <c r="H92" s="104">
        <v>1602700</v>
      </c>
      <c r="I92" s="104">
        <f>I93</f>
        <v>2839439.58</v>
      </c>
      <c r="J92" s="104">
        <f>J93</f>
        <v>2883000</v>
      </c>
      <c r="K92" s="51">
        <f t="shared" si="58"/>
        <v>1.7988394584139265</v>
      </c>
      <c r="L92" s="40">
        <f t="shared" si="79"/>
        <v>1103700</v>
      </c>
      <c r="M92" s="31">
        <f t="shared" si="79"/>
        <v>1103700</v>
      </c>
      <c r="N92" s="85">
        <f t="shared" si="79"/>
        <v>1103700</v>
      </c>
      <c r="O92" s="157">
        <f t="shared" si="55"/>
        <v>0.84550373798144829</v>
      </c>
      <c r="P92" s="166">
        <f t="shared" si="56"/>
        <v>0.38283038501560873</v>
      </c>
    </row>
    <row r="93" spans="1:16" ht="33.75" x14ac:dyDescent="0.2">
      <c r="A93" s="22" t="s">
        <v>118</v>
      </c>
      <c r="B93" s="175" t="s">
        <v>119</v>
      </c>
      <c r="C93" s="26">
        <v>1306000</v>
      </c>
      <c r="D93" s="7">
        <v>1297000</v>
      </c>
      <c r="E93" s="104">
        <v>1305375.6599999999</v>
      </c>
      <c r="F93" s="49">
        <f t="shared" si="77"/>
        <v>100.64577178103316</v>
      </c>
      <c r="G93" s="46">
        <v>1602700</v>
      </c>
      <c r="H93" s="104">
        <v>1602700</v>
      </c>
      <c r="I93" s="104">
        <v>2839439.58</v>
      </c>
      <c r="J93" s="90">
        <v>2883000</v>
      </c>
      <c r="K93" s="51">
        <f t="shared" si="58"/>
        <v>1.7988394584139265</v>
      </c>
      <c r="L93" s="14">
        <v>1103700</v>
      </c>
      <c r="M93" s="13">
        <v>1103700</v>
      </c>
      <c r="N93" s="89">
        <v>1103700</v>
      </c>
      <c r="O93" s="157">
        <f t="shared" si="55"/>
        <v>0.84550373798144829</v>
      </c>
      <c r="P93" s="166">
        <f t="shared" si="56"/>
        <v>0.38283038501560873</v>
      </c>
    </row>
    <row r="94" spans="1:16" x14ac:dyDescent="0.2">
      <c r="A94" s="192" t="s">
        <v>120</v>
      </c>
      <c r="B94" s="177" t="s">
        <v>121</v>
      </c>
      <c r="C94" s="109">
        <f>C95+C130+C136</f>
        <v>1203700</v>
      </c>
      <c r="D94" s="106">
        <f>D95+D130+D136</f>
        <v>3642150</v>
      </c>
      <c r="E94" s="106">
        <f>E95+E130+E136</f>
        <v>3870444.9400000004</v>
      </c>
      <c r="F94" s="50">
        <f t="shared" si="77"/>
        <v>106.26813667751192</v>
      </c>
      <c r="G94" s="110">
        <f>G95+G121+G123+G128+G130</f>
        <v>1029000</v>
      </c>
      <c r="H94" s="106">
        <f>H95+H121+H123+H128+H130</f>
        <v>1490400</v>
      </c>
      <c r="I94" s="106">
        <f>I95+I121+I123+I128+I130</f>
        <v>1908955.0399999998</v>
      </c>
      <c r="J94" s="109">
        <f>J95+J121+J123+J128+J130</f>
        <v>1833700</v>
      </c>
      <c r="K94" s="51">
        <f t="shared" si="58"/>
        <v>1.2303408480944713</v>
      </c>
      <c r="L94" s="109">
        <f>L95+L121+L123+L128+L130</f>
        <v>1091150</v>
      </c>
      <c r="M94" s="106">
        <f t="shared" ref="M94:N94" si="80">M95+M121+M123+M128+M130</f>
        <v>1091150</v>
      </c>
      <c r="N94" s="111">
        <f t="shared" si="80"/>
        <v>1091150</v>
      </c>
      <c r="O94" s="158">
        <f t="shared" si="55"/>
        <v>0.28191849177939732</v>
      </c>
      <c r="P94" s="167">
        <f t="shared" si="56"/>
        <v>0.59505371652942141</v>
      </c>
    </row>
    <row r="95" spans="1:16" ht="33.75" x14ac:dyDescent="0.2">
      <c r="A95" s="22" t="s">
        <v>223</v>
      </c>
      <c r="B95" s="178" t="s">
        <v>224</v>
      </c>
      <c r="C95" s="112">
        <f>C96+C98+C100+C102+C104+C106+C108+C110+C112+C114+C117+C119</f>
        <v>1203700</v>
      </c>
      <c r="D95" s="7">
        <f>D96+D98+D100+D102+D104+D106+D108+D110+D112+D114+D117+D119</f>
        <v>637300</v>
      </c>
      <c r="E95" s="7">
        <f>E96+E98+E100+E102+E104+E106+E108+E110+E112+E114+E117+E119+E123</f>
        <v>792866.47000000009</v>
      </c>
      <c r="F95" s="49">
        <f t="shared" si="77"/>
        <v>124.41024164443748</v>
      </c>
      <c r="G95" s="113">
        <f>G96+G98+G100+G102+G104+G106+G108+G110+G112+G114+G117+G119</f>
        <v>1001000</v>
      </c>
      <c r="H95" s="7">
        <f t="shared" ref="H95" si="81">H96+H98+H100+H102+H104+H106+H108+H110+H112+H114+H117+H119</f>
        <v>1001000</v>
      </c>
      <c r="I95" s="7">
        <f>I96+I98+I100+I102+I104+I106+I108+I110+I112+I114+I116+I117+I119</f>
        <v>868394.86999999988</v>
      </c>
      <c r="J95" s="40">
        <f>J96+J98+J100+J102+J104+J106+J108+J110+J112+J114+J117+J119</f>
        <v>817200</v>
      </c>
      <c r="K95" s="51">
        <f t="shared" si="58"/>
        <v>0.81638361638361634</v>
      </c>
      <c r="L95" s="40">
        <f>L96+L98+L100+L102+L104+L106+L108+L110+L112+L114+L116+L117+L119</f>
        <v>927000</v>
      </c>
      <c r="M95" s="31">
        <f t="shared" ref="M95:N95" si="82">M96+M98+M100+M102+M104+M106+M108+M110+M112+M114+M116+M117+M119</f>
        <v>927000</v>
      </c>
      <c r="N95" s="79">
        <f t="shared" si="82"/>
        <v>927000</v>
      </c>
      <c r="O95" s="157">
        <f t="shared" si="55"/>
        <v>1.1691754350515036</v>
      </c>
      <c r="P95" s="166">
        <f t="shared" si="56"/>
        <v>1.1343612334801763</v>
      </c>
    </row>
    <row r="96" spans="1:16" ht="45" x14ac:dyDescent="0.2">
      <c r="A96" s="22" t="s">
        <v>225</v>
      </c>
      <c r="B96" s="178" t="s">
        <v>226</v>
      </c>
      <c r="C96" s="26">
        <f>C97</f>
        <v>14500</v>
      </c>
      <c r="D96" s="7">
        <f>D97</f>
        <v>33500</v>
      </c>
      <c r="E96" s="104">
        <v>33650</v>
      </c>
      <c r="F96" s="49">
        <f t="shared" si="77"/>
        <v>100.44776119402985</v>
      </c>
      <c r="G96" s="46">
        <f>G97</f>
        <v>12000</v>
      </c>
      <c r="H96" s="104">
        <v>12000</v>
      </c>
      <c r="I96" s="104">
        <f>I97</f>
        <v>19394.45</v>
      </c>
      <c r="J96" s="104">
        <f>J97</f>
        <v>18400</v>
      </c>
      <c r="K96" s="51">
        <f t="shared" si="58"/>
        <v>1.5333333333333334</v>
      </c>
      <c r="L96" s="40">
        <f>L97</f>
        <v>21000</v>
      </c>
      <c r="M96" s="31">
        <f>M97</f>
        <v>21000</v>
      </c>
      <c r="N96" s="85">
        <f>N97</f>
        <v>21000</v>
      </c>
      <c r="O96" s="157">
        <f t="shared" si="55"/>
        <v>0.62407132243684993</v>
      </c>
      <c r="P96" s="166">
        <f t="shared" si="56"/>
        <v>1.1413043478260869</v>
      </c>
    </row>
    <row r="97" spans="1:16" ht="67.5" x14ac:dyDescent="0.2">
      <c r="A97" s="193" t="s">
        <v>213</v>
      </c>
      <c r="B97" s="181" t="s">
        <v>287</v>
      </c>
      <c r="C97" s="14">
        <v>14500</v>
      </c>
      <c r="D97" s="5">
        <v>33500</v>
      </c>
      <c r="E97" s="104">
        <v>33650</v>
      </c>
      <c r="F97" s="49">
        <f t="shared" si="77"/>
        <v>100.44776119402985</v>
      </c>
      <c r="G97" s="46">
        <v>12000</v>
      </c>
      <c r="H97" s="104">
        <v>12000</v>
      </c>
      <c r="I97" s="104">
        <v>19394.45</v>
      </c>
      <c r="J97" s="104">
        <v>18400</v>
      </c>
      <c r="K97" s="51">
        <f t="shared" si="58"/>
        <v>1.5333333333333334</v>
      </c>
      <c r="L97" s="40">
        <v>21000</v>
      </c>
      <c r="M97" s="31">
        <v>21000</v>
      </c>
      <c r="N97" s="79">
        <v>21000</v>
      </c>
      <c r="O97" s="157">
        <f t="shared" si="55"/>
        <v>0.62407132243684993</v>
      </c>
      <c r="P97" s="166">
        <f t="shared" si="56"/>
        <v>1.1413043478260869</v>
      </c>
    </row>
    <row r="98" spans="1:16" ht="56.25" x14ac:dyDescent="0.2">
      <c r="A98" s="193" t="s">
        <v>227</v>
      </c>
      <c r="B98" s="181" t="s">
        <v>228</v>
      </c>
      <c r="C98" s="14">
        <f>C99</f>
        <v>111800</v>
      </c>
      <c r="D98" s="5">
        <f>D99</f>
        <v>113000</v>
      </c>
      <c r="E98" s="104">
        <v>113701.08</v>
      </c>
      <c r="F98" s="49">
        <f t="shared" si="77"/>
        <v>100.62042477876105</v>
      </c>
      <c r="G98" s="46">
        <f>G99</f>
        <v>91000</v>
      </c>
      <c r="H98" s="104">
        <v>91000</v>
      </c>
      <c r="I98" s="104">
        <f>I99</f>
        <v>141912.95999999999</v>
      </c>
      <c r="J98" s="104">
        <f>J99</f>
        <v>121400</v>
      </c>
      <c r="K98" s="51">
        <f t="shared" si="58"/>
        <v>1.334065934065934</v>
      </c>
      <c r="L98" s="40">
        <f>L99</f>
        <v>114000</v>
      </c>
      <c r="M98" s="31">
        <f>M99</f>
        <v>114000</v>
      </c>
      <c r="N98" s="85">
        <f>N99</f>
        <v>114000</v>
      </c>
      <c r="O98" s="157">
        <f t="shared" si="55"/>
        <v>1.0026289987746817</v>
      </c>
      <c r="P98" s="166">
        <f t="shared" si="56"/>
        <v>0.93904448105436578</v>
      </c>
    </row>
    <row r="99" spans="1:16" ht="78.75" x14ac:dyDescent="0.2">
      <c r="A99" s="193" t="s">
        <v>214</v>
      </c>
      <c r="B99" s="181" t="s">
        <v>231</v>
      </c>
      <c r="C99" s="14">
        <v>111800</v>
      </c>
      <c r="D99" s="5">
        <v>113000</v>
      </c>
      <c r="E99" s="104">
        <v>113701.08</v>
      </c>
      <c r="F99" s="49">
        <f t="shared" si="77"/>
        <v>100.62042477876105</v>
      </c>
      <c r="G99" s="46">
        <v>91000</v>
      </c>
      <c r="H99" s="104">
        <v>91000</v>
      </c>
      <c r="I99" s="104">
        <v>141912.95999999999</v>
      </c>
      <c r="J99" s="104">
        <v>121400</v>
      </c>
      <c r="K99" s="51">
        <f t="shared" si="58"/>
        <v>1.334065934065934</v>
      </c>
      <c r="L99" s="40">
        <v>114000</v>
      </c>
      <c r="M99" s="31">
        <v>114000</v>
      </c>
      <c r="N99" s="79">
        <v>114000</v>
      </c>
      <c r="O99" s="157">
        <f t="shared" si="55"/>
        <v>1.0026289987746817</v>
      </c>
      <c r="P99" s="166">
        <f t="shared" si="56"/>
        <v>0.93904448105436578</v>
      </c>
    </row>
    <row r="100" spans="1:16" ht="45" x14ac:dyDescent="0.2">
      <c r="A100" s="193" t="s">
        <v>229</v>
      </c>
      <c r="B100" s="181" t="s">
        <v>230</v>
      </c>
      <c r="C100" s="14">
        <f>C101</f>
        <v>31000</v>
      </c>
      <c r="D100" s="5">
        <f>D101</f>
        <v>47500</v>
      </c>
      <c r="E100" s="104">
        <v>48467.59</v>
      </c>
      <c r="F100" s="49">
        <f t="shared" si="77"/>
        <v>102.03703157894736</v>
      </c>
      <c r="G100" s="46">
        <f>G101</f>
        <v>25000</v>
      </c>
      <c r="H100" s="104">
        <v>25000</v>
      </c>
      <c r="I100" s="104">
        <f>I101</f>
        <v>29190.37</v>
      </c>
      <c r="J100" s="104">
        <f>J101</f>
        <v>27850</v>
      </c>
      <c r="K100" s="51">
        <f t="shared" si="58"/>
        <v>1.1140000000000001</v>
      </c>
      <c r="L100" s="40">
        <f>L101</f>
        <v>25000</v>
      </c>
      <c r="M100" s="31">
        <f>M101</f>
        <v>25000</v>
      </c>
      <c r="N100" s="85">
        <f>N101</f>
        <v>25000</v>
      </c>
      <c r="O100" s="157">
        <f t="shared" si="55"/>
        <v>0.51580860529685923</v>
      </c>
      <c r="P100" s="166">
        <f t="shared" si="56"/>
        <v>0.89766606822262118</v>
      </c>
    </row>
    <row r="101" spans="1:16" ht="67.5" x14ac:dyDescent="0.2">
      <c r="A101" s="193" t="s">
        <v>215</v>
      </c>
      <c r="B101" s="181" t="s">
        <v>232</v>
      </c>
      <c r="C101" s="14">
        <v>31000</v>
      </c>
      <c r="D101" s="5">
        <v>47500</v>
      </c>
      <c r="E101" s="104">
        <v>48467.59</v>
      </c>
      <c r="F101" s="49">
        <f t="shared" si="77"/>
        <v>102.03703157894736</v>
      </c>
      <c r="G101" s="46">
        <v>25000</v>
      </c>
      <c r="H101" s="104">
        <v>25000</v>
      </c>
      <c r="I101" s="104">
        <v>29190.37</v>
      </c>
      <c r="J101" s="104">
        <v>27850</v>
      </c>
      <c r="K101" s="51">
        <f t="shared" si="58"/>
        <v>1.1140000000000001</v>
      </c>
      <c r="L101" s="40">
        <v>25000</v>
      </c>
      <c r="M101" s="31">
        <v>25000</v>
      </c>
      <c r="N101" s="79">
        <v>25000</v>
      </c>
      <c r="O101" s="157">
        <f t="shared" si="55"/>
        <v>0.51580860529685923</v>
      </c>
      <c r="P101" s="166">
        <f t="shared" si="56"/>
        <v>0.89766606822262118</v>
      </c>
    </row>
    <row r="102" spans="1:16" ht="45" x14ac:dyDescent="0.2">
      <c r="A102" s="193" t="s">
        <v>233</v>
      </c>
      <c r="B102" s="181" t="s">
        <v>234</v>
      </c>
      <c r="C102" s="14">
        <f>C103</f>
        <v>12100</v>
      </c>
      <c r="D102" s="5">
        <f>D103</f>
        <v>10000</v>
      </c>
      <c r="E102" s="104">
        <v>10000</v>
      </c>
      <c r="F102" s="49">
        <f t="shared" si="77"/>
        <v>100</v>
      </c>
      <c r="G102" s="46">
        <f>G103</f>
        <v>14000</v>
      </c>
      <c r="H102" s="104">
        <v>14000</v>
      </c>
      <c r="I102" s="104">
        <f>I103</f>
        <v>6000</v>
      </c>
      <c r="J102" s="104">
        <f>J103</f>
        <v>6000</v>
      </c>
      <c r="K102" s="51">
        <f t="shared" si="58"/>
        <v>0.42857142857142855</v>
      </c>
      <c r="L102" s="40">
        <f>L103</f>
        <v>9000</v>
      </c>
      <c r="M102" s="31">
        <f>M103</f>
        <v>9000</v>
      </c>
      <c r="N102" s="85">
        <f>N103</f>
        <v>9000</v>
      </c>
      <c r="O102" s="157">
        <f t="shared" si="55"/>
        <v>0.9</v>
      </c>
      <c r="P102" s="166">
        <f t="shared" si="56"/>
        <v>1.5</v>
      </c>
    </row>
    <row r="103" spans="1:16" ht="67.5" x14ac:dyDescent="0.2">
      <c r="A103" s="193" t="s">
        <v>216</v>
      </c>
      <c r="B103" s="181" t="s">
        <v>240</v>
      </c>
      <c r="C103" s="14">
        <v>12100</v>
      </c>
      <c r="D103" s="5">
        <v>10000</v>
      </c>
      <c r="E103" s="104">
        <v>10000</v>
      </c>
      <c r="F103" s="49">
        <f t="shared" si="77"/>
        <v>100</v>
      </c>
      <c r="G103" s="46">
        <v>14000</v>
      </c>
      <c r="H103" s="104">
        <v>14000</v>
      </c>
      <c r="I103" s="104">
        <v>6000</v>
      </c>
      <c r="J103" s="104">
        <v>6000</v>
      </c>
      <c r="K103" s="51">
        <f t="shared" si="58"/>
        <v>0.42857142857142855</v>
      </c>
      <c r="L103" s="40">
        <v>9000</v>
      </c>
      <c r="M103" s="31">
        <v>9000</v>
      </c>
      <c r="N103" s="79">
        <v>9000</v>
      </c>
      <c r="O103" s="157">
        <f t="shared" si="55"/>
        <v>0.9</v>
      </c>
      <c r="P103" s="166">
        <f t="shared" si="56"/>
        <v>1.5</v>
      </c>
    </row>
    <row r="104" spans="1:16" ht="45" x14ac:dyDescent="0.2">
      <c r="A104" s="193" t="s">
        <v>238</v>
      </c>
      <c r="B104" s="181" t="s">
        <v>239</v>
      </c>
      <c r="C104" s="14">
        <f>C105</f>
        <v>500</v>
      </c>
      <c r="D104" s="5">
        <f>D105</f>
        <v>0</v>
      </c>
      <c r="E104" s="13">
        <f t="shared" ref="E104" si="83">E105</f>
        <v>0</v>
      </c>
      <c r="F104" s="49"/>
      <c r="G104" s="46">
        <f>G105</f>
        <v>0</v>
      </c>
      <c r="H104" s="31">
        <f t="shared" ref="H104:J104" si="84">H105</f>
        <v>0</v>
      </c>
      <c r="I104" s="31">
        <f t="shared" si="84"/>
        <v>0</v>
      </c>
      <c r="J104" s="31">
        <f t="shared" si="84"/>
        <v>0</v>
      </c>
      <c r="K104" s="51"/>
      <c r="L104" s="40">
        <f>L105</f>
        <v>0</v>
      </c>
      <c r="M104" s="31">
        <f t="shared" ref="M104:N104" si="85">M105</f>
        <v>0</v>
      </c>
      <c r="N104" s="79">
        <f t="shared" si="85"/>
        <v>0</v>
      </c>
      <c r="O104" s="157"/>
      <c r="P104" s="166"/>
    </row>
    <row r="105" spans="1:16" ht="67.5" x14ac:dyDescent="0.2">
      <c r="A105" s="193" t="s">
        <v>217</v>
      </c>
      <c r="B105" s="181" t="s">
        <v>241</v>
      </c>
      <c r="C105" s="14">
        <v>500</v>
      </c>
      <c r="D105" s="5">
        <v>0</v>
      </c>
      <c r="E105" s="104">
        <v>0</v>
      </c>
      <c r="F105" s="49"/>
      <c r="G105" s="46">
        <v>0</v>
      </c>
      <c r="H105" s="31">
        <v>0</v>
      </c>
      <c r="I105" s="31">
        <v>0</v>
      </c>
      <c r="J105" s="31">
        <v>0</v>
      </c>
      <c r="K105" s="51"/>
      <c r="L105" s="40">
        <v>0</v>
      </c>
      <c r="M105" s="31">
        <v>0</v>
      </c>
      <c r="N105" s="79">
        <v>0</v>
      </c>
      <c r="O105" s="157"/>
      <c r="P105" s="166"/>
    </row>
    <row r="106" spans="1:16" ht="45" x14ac:dyDescent="0.2">
      <c r="A106" s="193" t="s">
        <v>235</v>
      </c>
      <c r="B106" s="181" t="s">
        <v>236</v>
      </c>
      <c r="C106" s="14">
        <f>C107</f>
        <v>1000</v>
      </c>
      <c r="D106" s="5">
        <f>D107</f>
        <v>1000</v>
      </c>
      <c r="E106" s="104">
        <v>1500</v>
      </c>
      <c r="F106" s="49">
        <f t="shared" ref="F106:F115" si="86">E106/D106*100</f>
        <v>150</v>
      </c>
      <c r="G106" s="46">
        <f>G107</f>
        <v>1000</v>
      </c>
      <c r="H106" s="104">
        <v>1000</v>
      </c>
      <c r="I106" s="104">
        <f>I107</f>
        <v>1000</v>
      </c>
      <c r="J106" s="104">
        <f>J107</f>
        <v>1000</v>
      </c>
      <c r="K106" s="51">
        <f t="shared" si="58"/>
        <v>1</v>
      </c>
      <c r="L106" s="40">
        <f>L107</f>
        <v>1000</v>
      </c>
      <c r="M106" s="31">
        <f>M107</f>
        <v>1000</v>
      </c>
      <c r="N106" s="85">
        <f>N107</f>
        <v>1000</v>
      </c>
      <c r="O106" s="157">
        <f t="shared" si="55"/>
        <v>0.66666666666666663</v>
      </c>
      <c r="P106" s="166">
        <f t="shared" si="56"/>
        <v>1</v>
      </c>
    </row>
    <row r="107" spans="1:16" ht="67.5" x14ac:dyDescent="0.2">
      <c r="A107" s="193" t="s">
        <v>218</v>
      </c>
      <c r="B107" s="181" t="s">
        <v>237</v>
      </c>
      <c r="C107" s="14">
        <v>1000</v>
      </c>
      <c r="D107" s="5">
        <v>1000</v>
      </c>
      <c r="E107" s="104">
        <v>1500</v>
      </c>
      <c r="F107" s="49">
        <f t="shared" si="86"/>
        <v>150</v>
      </c>
      <c r="G107" s="46">
        <v>1000</v>
      </c>
      <c r="H107" s="104">
        <v>1000</v>
      </c>
      <c r="I107" s="104">
        <v>1000</v>
      </c>
      <c r="J107" s="104">
        <v>1000</v>
      </c>
      <c r="K107" s="51">
        <f t="shared" si="58"/>
        <v>1</v>
      </c>
      <c r="L107" s="40">
        <v>1000</v>
      </c>
      <c r="M107" s="31">
        <v>1000</v>
      </c>
      <c r="N107" s="79">
        <v>1000</v>
      </c>
      <c r="O107" s="157">
        <f t="shared" si="55"/>
        <v>0.66666666666666663</v>
      </c>
      <c r="P107" s="166">
        <f t="shared" si="56"/>
        <v>1</v>
      </c>
    </row>
    <row r="108" spans="1:16" ht="56.25" x14ac:dyDescent="0.2">
      <c r="A108" s="193" t="s">
        <v>242</v>
      </c>
      <c r="B108" s="181" t="s">
        <v>243</v>
      </c>
      <c r="C108" s="14">
        <f>C109</f>
        <v>214000</v>
      </c>
      <c r="D108" s="5">
        <f>D109</f>
        <v>69500</v>
      </c>
      <c r="E108" s="104">
        <v>69550</v>
      </c>
      <c r="F108" s="49">
        <f t="shared" si="86"/>
        <v>100.07194244604317</v>
      </c>
      <c r="G108" s="46">
        <f>G109</f>
        <v>151000</v>
      </c>
      <c r="H108" s="104">
        <v>151000</v>
      </c>
      <c r="I108" s="104">
        <f>I109</f>
        <v>63655.49</v>
      </c>
      <c r="J108" s="104">
        <f>J109</f>
        <v>64000</v>
      </c>
      <c r="K108" s="51">
        <f t="shared" si="58"/>
        <v>0.42384105960264901</v>
      </c>
      <c r="L108" s="40">
        <f>L109</f>
        <v>66000</v>
      </c>
      <c r="M108" s="31">
        <f>M109</f>
        <v>66000</v>
      </c>
      <c r="N108" s="85">
        <f>N109</f>
        <v>66000</v>
      </c>
      <c r="O108" s="157">
        <f t="shared" si="55"/>
        <v>0.94895758447160317</v>
      </c>
      <c r="P108" s="166">
        <f t="shared" si="56"/>
        <v>1.03125</v>
      </c>
    </row>
    <row r="109" spans="1:16" ht="78.75" x14ac:dyDescent="0.2">
      <c r="A109" s="193" t="s">
        <v>219</v>
      </c>
      <c r="B109" s="181" t="s">
        <v>244</v>
      </c>
      <c r="C109" s="14">
        <v>214000</v>
      </c>
      <c r="D109" s="5">
        <v>69500</v>
      </c>
      <c r="E109" s="104">
        <v>69550</v>
      </c>
      <c r="F109" s="49">
        <f t="shared" si="86"/>
        <v>100.07194244604317</v>
      </c>
      <c r="G109" s="46">
        <v>151000</v>
      </c>
      <c r="H109" s="104">
        <v>151000</v>
      </c>
      <c r="I109" s="104">
        <v>63655.49</v>
      </c>
      <c r="J109" s="104">
        <v>64000</v>
      </c>
      <c r="K109" s="51">
        <f t="shared" si="58"/>
        <v>0.42384105960264901</v>
      </c>
      <c r="L109" s="40">
        <v>66000</v>
      </c>
      <c r="M109" s="31">
        <v>66000</v>
      </c>
      <c r="N109" s="79">
        <v>66000</v>
      </c>
      <c r="O109" s="157">
        <f t="shared" si="55"/>
        <v>0.94895758447160317</v>
      </c>
      <c r="P109" s="166">
        <f t="shared" si="56"/>
        <v>1.03125</v>
      </c>
    </row>
    <row r="110" spans="1:16" ht="56.25" x14ac:dyDescent="0.2">
      <c r="A110" s="23" t="s">
        <v>404</v>
      </c>
      <c r="B110" s="179" t="s">
        <v>245</v>
      </c>
      <c r="C110" s="14">
        <f>C111</f>
        <v>32200</v>
      </c>
      <c r="D110" s="5">
        <f>D111</f>
        <v>8900</v>
      </c>
      <c r="E110" s="104">
        <v>8925</v>
      </c>
      <c r="F110" s="49">
        <f t="shared" si="86"/>
        <v>100.28089887640451</v>
      </c>
      <c r="G110" s="46">
        <f>G111</f>
        <v>13000</v>
      </c>
      <c r="H110" s="104">
        <v>13000</v>
      </c>
      <c r="I110" s="104">
        <f>I111</f>
        <v>5764.99</v>
      </c>
      <c r="J110" s="104">
        <f>J111</f>
        <v>5200</v>
      </c>
      <c r="K110" s="51">
        <f t="shared" si="58"/>
        <v>0.4</v>
      </c>
      <c r="L110" s="40">
        <f>L111</f>
        <v>25000</v>
      </c>
      <c r="M110" s="31">
        <f>M111</f>
        <v>25000</v>
      </c>
      <c r="N110" s="85">
        <f>N111</f>
        <v>25000</v>
      </c>
      <c r="O110" s="157">
        <f t="shared" si="55"/>
        <v>2.8011204481792715</v>
      </c>
      <c r="P110" s="166">
        <f t="shared" si="56"/>
        <v>4.8076923076923075</v>
      </c>
    </row>
    <row r="111" spans="1:16" ht="90" x14ac:dyDescent="0.2">
      <c r="A111" s="23" t="s">
        <v>405</v>
      </c>
      <c r="B111" s="179" t="s">
        <v>406</v>
      </c>
      <c r="C111" s="14">
        <v>32200</v>
      </c>
      <c r="D111" s="5">
        <v>8900</v>
      </c>
      <c r="E111" s="104">
        <v>8925</v>
      </c>
      <c r="F111" s="49">
        <f t="shared" si="86"/>
        <v>100.28089887640451</v>
      </c>
      <c r="G111" s="46">
        <v>13000</v>
      </c>
      <c r="H111" s="104">
        <v>13000</v>
      </c>
      <c r="I111" s="104">
        <v>5764.99</v>
      </c>
      <c r="J111" s="104">
        <v>5200</v>
      </c>
      <c r="K111" s="51">
        <f t="shared" si="58"/>
        <v>0.4</v>
      </c>
      <c r="L111" s="40">
        <v>25000</v>
      </c>
      <c r="M111" s="31">
        <v>25000</v>
      </c>
      <c r="N111" s="79">
        <v>25000</v>
      </c>
      <c r="O111" s="157">
        <f t="shared" si="55"/>
        <v>2.8011204481792715</v>
      </c>
      <c r="P111" s="166">
        <f t="shared" si="56"/>
        <v>4.8076923076923075</v>
      </c>
    </row>
    <row r="112" spans="1:16" ht="45" x14ac:dyDescent="0.2">
      <c r="A112" s="193" t="s">
        <v>246</v>
      </c>
      <c r="B112" s="181" t="s">
        <v>247</v>
      </c>
      <c r="C112" s="14">
        <f>C113</f>
        <v>2800</v>
      </c>
      <c r="D112" s="5">
        <f>D113</f>
        <v>500</v>
      </c>
      <c r="E112" s="104">
        <v>500</v>
      </c>
      <c r="F112" s="49">
        <f t="shared" si="86"/>
        <v>100</v>
      </c>
      <c r="G112" s="46">
        <f>G113</f>
        <v>3000</v>
      </c>
      <c r="H112" s="104">
        <v>3000</v>
      </c>
      <c r="I112" s="104">
        <f>I113</f>
        <v>0</v>
      </c>
      <c r="J112" s="104">
        <f>J113</f>
        <v>0</v>
      </c>
      <c r="K112" s="51">
        <f t="shared" si="58"/>
        <v>0</v>
      </c>
      <c r="L112" s="40">
        <f>L113</f>
        <v>3000</v>
      </c>
      <c r="M112" s="31">
        <f>M113</f>
        <v>3000</v>
      </c>
      <c r="N112" s="85">
        <f>N113</f>
        <v>3000</v>
      </c>
      <c r="O112" s="157">
        <f t="shared" si="55"/>
        <v>6</v>
      </c>
      <c r="P112" s="166"/>
    </row>
    <row r="113" spans="1:16" ht="67.5" x14ac:dyDescent="0.2">
      <c r="A113" s="193" t="s">
        <v>220</v>
      </c>
      <c r="B113" s="181" t="s">
        <v>250</v>
      </c>
      <c r="C113" s="14">
        <v>2800</v>
      </c>
      <c r="D113" s="5">
        <v>500</v>
      </c>
      <c r="E113" s="104">
        <v>500</v>
      </c>
      <c r="F113" s="49">
        <f t="shared" si="86"/>
        <v>100</v>
      </c>
      <c r="G113" s="46">
        <v>3000</v>
      </c>
      <c r="H113" s="104">
        <v>3000</v>
      </c>
      <c r="I113" s="104">
        <v>0</v>
      </c>
      <c r="J113" s="104">
        <v>0</v>
      </c>
      <c r="K113" s="51">
        <f t="shared" si="58"/>
        <v>0</v>
      </c>
      <c r="L113" s="40">
        <v>3000</v>
      </c>
      <c r="M113" s="31">
        <v>3000</v>
      </c>
      <c r="N113" s="79">
        <v>3000</v>
      </c>
      <c r="O113" s="157">
        <f t="shared" si="55"/>
        <v>6</v>
      </c>
      <c r="P113" s="166"/>
    </row>
    <row r="114" spans="1:16" ht="45" x14ac:dyDescent="0.2">
      <c r="A114" s="193" t="s">
        <v>248</v>
      </c>
      <c r="B114" s="181" t="s">
        <v>249</v>
      </c>
      <c r="C114" s="14">
        <f>C115</f>
        <v>442300</v>
      </c>
      <c r="D114" s="5">
        <f>D115</f>
        <v>143000</v>
      </c>
      <c r="E114" s="104">
        <v>143155.19</v>
      </c>
      <c r="F114" s="49">
        <f t="shared" si="86"/>
        <v>100.10852447552448</v>
      </c>
      <c r="G114" s="46">
        <f>G115</f>
        <v>351000</v>
      </c>
      <c r="H114" s="104">
        <v>351000</v>
      </c>
      <c r="I114" s="104">
        <f>I115</f>
        <v>282680.67</v>
      </c>
      <c r="J114" s="104">
        <f>J115+J116</f>
        <v>271200</v>
      </c>
      <c r="K114" s="51">
        <f t="shared" si="58"/>
        <v>0.77264957264957268</v>
      </c>
      <c r="L114" s="40">
        <f>L115</f>
        <v>316000</v>
      </c>
      <c r="M114" s="31">
        <f>M115</f>
        <v>316000</v>
      </c>
      <c r="N114" s="85">
        <f>N115</f>
        <v>316000</v>
      </c>
      <c r="O114" s="157">
        <f t="shared" si="55"/>
        <v>2.2073946463275274</v>
      </c>
      <c r="P114" s="166">
        <f t="shared" si="56"/>
        <v>1.1651917404129795</v>
      </c>
    </row>
    <row r="115" spans="1:16" ht="56.25" x14ac:dyDescent="0.2">
      <c r="A115" s="193" t="s">
        <v>221</v>
      </c>
      <c r="B115" s="181" t="s">
        <v>251</v>
      </c>
      <c r="C115" s="14">
        <v>442300</v>
      </c>
      <c r="D115" s="5">
        <v>143000</v>
      </c>
      <c r="E115" s="104">
        <v>138155.19</v>
      </c>
      <c r="F115" s="49">
        <f t="shared" si="86"/>
        <v>96.612020979020983</v>
      </c>
      <c r="G115" s="46">
        <v>351000</v>
      </c>
      <c r="H115" s="104">
        <v>351000</v>
      </c>
      <c r="I115" s="104">
        <v>282680.67</v>
      </c>
      <c r="J115" s="104">
        <v>271000</v>
      </c>
      <c r="K115" s="51">
        <f t="shared" si="58"/>
        <v>0.77207977207977208</v>
      </c>
      <c r="L115" s="40">
        <v>316000</v>
      </c>
      <c r="M115" s="31">
        <v>316000</v>
      </c>
      <c r="N115" s="79">
        <v>316000</v>
      </c>
      <c r="O115" s="157">
        <f t="shared" si="55"/>
        <v>2.2872828737016682</v>
      </c>
      <c r="P115" s="166">
        <f t="shared" si="56"/>
        <v>1.1660516605166051</v>
      </c>
    </row>
    <row r="116" spans="1:16" ht="56.25" x14ac:dyDescent="0.2">
      <c r="A116" s="23" t="s">
        <v>366</v>
      </c>
      <c r="B116" s="179" t="s">
        <v>386</v>
      </c>
      <c r="C116" s="14">
        <v>0</v>
      </c>
      <c r="D116" s="5">
        <v>0</v>
      </c>
      <c r="E116" s="104">
        <v>5000</v>
      </c>
      <c r="F116" s="49"/>
      <c r="G116" s="121">
        <v>0</v>
      </c>
      <c r="H116" s="104">
        <v>0</v>
      </c>
      <c r="I116" s="104">
        <v>200</v>
      </c>
      <c r="J116" s="104">
        <v>200</v>
      </c>
      <c r="K116" s="51"/>
      <c r="L116" s="122">
        <v>0</v>
      </c>
      <c r="M116" s="88">
        <v>0</v>
      </c>
      <c r="N116" s="123">
        <v>0</v>
      </c>
      <c r="O116" s="157">
        <f t="shared" si="55"/>
        <v>0</v>
      </c>
      <c r="P116" s="166">
        <f t="shared" si="56"/>
        <v>0</v>
      </c>
    </row>
    <row r="117" spans="1:16" ht="56.25" x14ac:dyDescent="0.2">
      <c r="A117" s="193" t="s">
        <v>252</v>
      </c>
      <c r="B117" s="181" t="s">
        <v>253</v>
      </c>
      <c r="C117" s="14">
        <f>C118</f>
        <v>341500</v>
      </c>
      <c r="D117" s="5">
        <f>D118</f>
        <v>203000</v>
      </c>
      <c r="E117" s="104">
        <v>203409.44</v>
      </c>
      <c r="F117" s="49">
        <f>E117/D117*100</f>
        <v>100.20169458128079</v>
      </c>
      <c r="G117" s="46">
        <f>G118</f>
        <v>251000</v>
      </c>
      <c r="H117" s="104">
        <v>251000</v>
      </c>
      <c r="I117" s="104">
        <f>I118</f>
        <v>308545.94</v>
      </c>
      <c r="J117" s="104">
        <f>J118</f>
        <v>292100</v>
      </c>
      <c r="K117" s="51">
        <f t="shared" si="58"/>
        <v>1.1637450199203188</v>
      </c>
      <c r="L117" s="40">
        <f>L118</f>
        <v>221000</v>
      </c>
      <c r="M117" s="31">
        <f>M118</f>
        <v>221000</v>
      </c>
      <c r="N117" s="85">
        <f>N118</f>
        <v>221000</v>
      </c>
      <c r="O117" s="157">
        <f t="shared" si="55"/>
        <v>1.0864785823116174</v>
      </c>
      <c r="P117" s="166">
        <f t="shared" si="56"/>
        <v>0.75659020883259154</v>
      </c>
    </row>
    <row r="118" spans="1:16" ht="67.5" x14ac:dyDescent="0.2">
      <c r="A118" s="193" t="s">
        <v>222</v>
      </c>
      <c r="B118" s="181" t="s">
        <v>254</v>
      </c>
      <c r="C118" s="14">
        <v>341500</v>
      </c>
      <c r="D118" s="5">
        <v>203000</v>
      </c>
      <c r="E118" s="104">
        <v>203409.44</v>
      </c>
      <c r="F118" s="49">
        <f>E118/D118*100</f>
        <v>100.20169458128079</v>
      </c>
      <c r="G118" s="46">
        <v>251000</v>
      </c>
      <c r="H118" s="104">
        <v>251000</v>
      </c>
      <c r="I118" s="104">
        <v>308545.94</v>
      </c>
      <c r="J118" s="104">
        <v>292100</v>
      </c>
      <c r="K118" s="51">
        <f t="shared" si="58"/>
        <v>1.1637450199203188</v>
      </c>
      <c r="L118" s="40">
        <v>221000</v>
      </c>
      <c r="M118" s="31">
        <v>221000</v>
      </c>
      <c r="N118" s="79">
        <v>221000</v>
      </c>
      <c r="O118" s="157">
        <f t="shared" si="55"/>
        <v>1.0864785823116174</v>
      </c>
      <c r="P118" s="166">
        <f t="shared" si="56"/>
        <v>0.75659020883259154</v>
      </c>
    </row>
    <row r="119" spans="1:16" ht="90" x14ac:dyDescent="0.2">
      <c r="A119" s="24" t="s">
        <v>329</v>
      </c>
      <c r="B119" s="176" t="s">
        <v>331</v>
      </c>
      <c r="C119" s="17">
        <f>C120</f>
        <v>0</v>
      </c>
      <c r="D119" s="5">
        <f>D120</f>
        <v>7400</v>
      </c>
      <c r="E119" s="104">
        <v>7450</v>
      </c>
      <c r="F119" s="49">
        <f>E119/D119*100</f>
        <v>100.67567567567568</v>
      </c>
      <c r="G119" s="46">
        <f>G120</f>
        <v>89000</v>
      </c>
      <c r="H119" s="104">
        <v>89000</v>
      </c>
      <c r="I119" s="104">
        <f>I120</f>
        <v>10050</v>
      </c>
      <c r="J119" s="104">
        <f>J120</f>
        <v>10050</v>
      </c>
      <c r="K119" s="51">
        <f t="shared" si="58"/>
        <v>0.11292134831460675</v>
      </c>
      <c r="L119" s="40">
        <f>L120</f>
        <v>126000</v>
      </c>
      <c r="M119" s="31">
        <f>M120</f>
        <v>126000</v>
      </c>
      <c r="N119" s="85">
        <f>N120</f>
        <v>126000</v>
      </c>
      <c r="O119" s="157">
        <f t="shared" si="55"/>
        <v>16.912751677852349</v>
      </c>
      <c r="P119" s="166">
        <f t="shared" si="56"/>
        <v>12.537313432835822</v>
      </c>
    </row>
    <row r="120" spans="1:16" ht="112.5" x14ac:dyDescent="0.2">
      <c r="A120" s="194" t="s">
        <v>330</v>
      </c>
      <c r="B120" s="176" t="s">
        <v>387</v>
      </c>
      <c r="C120" s="17">
        <v>0</v>
      </c>
      <c r="D120" s="5">
        <v>7400</v>
      </c>
      <c r="E120" s="104">
        <v>7450</v>
      </c>
      <c r="F120" s="49">
        <f>E120/D120*100</f>
        <v>100.67567567567568</v>
      </c>
      <c r="G120" s="46">
        <v>89000</v>
      </c>
      <c r="H120" s="104">
        <v>89000</v>
      </c>
      <c r="I120" s="104">
        <v>10050</v>
      </c>
      <c r="J120" s="104">
        <v>10050</v>
      </c>
      <c r="K120" s="51">
        <f t="shared" si="58"/>
        <v>0.11292134831460675</v>
      </c>
      <c r="L120" s="40">
        <v>126000</v>
      </c>
      <c r="M120" s="31">
        <v>126000</v>
      </c>
      <c r="N120" s="79">
        <v>126000</v>
      </c>
      <c r="O120" s="157">
        <f t="shared" si="55"/>
        <v>16.912751677852349</v>
      </c>
      <c r="P120" s="166">
        <f t="shared" si="56"/>
        <v>12.537313432835822</v>
      </c>
    </row>
    <row r="121" spans="1:16" ht="33.75" x14ac:dyDescent="0.2">
      <c r="A121" s="194" t="s">
        <v>388</v>
      </c>
      <c r="B121" s="176" t="s">
        <v>391</v>
      </c>
      <c r="C121" s="17">
        <f t="shared" ref="C121:E121" si="87">C122</f>
        <v>0</v>
      </c>
      <c r="D121" s="5">
        <f t="shared" si="87"/>
        <v>0</v>
      </c>
      <c r="E121" s="5">
        <f t="shared" si="87"/>
        <v>0</v>
      </c>
      <c r="F121" s="49"/>
      <c r="G121" s="46">
        <f>G122</f>
        <v>2000</v>
      </c>
      <c r="H121" s="104">
        <v>2000</v>
      </c>
      <c r="I121" s="104">
        <f>I122</f>
        <v>66498.87</v>
      </c>
      <c r="J121" s="104">
        <f>J122</f>
        <v>59500</v>
      </c>
      <c r="K121" s="51">
        <f t="shared" si="58"/>
        <v>29.75</v>
      </c>
      <c r="L121" s="40">
        <f>L122</f>
        <v>49000</v>
      </c>
      <c r="M121" s="31">
        <f>M122</f>
        <v>49000</v>
      </c>
      <c r="N121" s="79">
        <f>N122</f>
        <v>49000</v>
      </c>
      <c r="O121" s="157"/>
      <c r="P121" s="166">
        <f t="shared" si="56"/>
        <v>0.82352941176470584</v>
      </c>
    </row>
    <row r="122" spans="1:16" ht="56.25" x14ac:dyDescent="0.2">
      <c r="A122" s="194" t="s">
        <v>389</v>
      </c>
      <c r="B122" s="176" t="s">
        <v>390</v>
      </c>
      <c r="C122" s="17">
        <v>0</v>
      </c>
      <c r="D122" s="5">
        <v>0</v>
      </c>
      <c r="E122" s="5">
        <v>0</v>
      </c>
      <c r="F122" s="49"/>
      <c r="G122" s="46">
        <v>2000</v>
      </c>
      <c r="H122" s="104">
        <v>2000</v>
      </c>
      <c r="I122" s="104">
        <v>66498.87</v>
      </c>
      <c r="J122" s="104">
        <v>59500</v>
      </c>
      <c r="K122" s="51">
        <f t="shared" si="58"/>
        <v>29.75</v>
      </c>
      <c r="L122" s="40">
        <v>49000</v>
      </c>
      <c r="M122" s="31">
        <v>49000</v>
      </c>
      <c r="N122" s="79">
        <v>49000</v>
      </c>
      <c r="O122" s="157"/>
      <c r="P122" s="166">
        <f t="shared" si="56"/>
        <v>0.82352941176470584</v>
      </c>
    </row>
    <row r="123" spans="1:16" ht="90" x14ac:dyDescent="0.2">
      <c r="A123" s="195" t="s">
        <v>373</v>
      </c>
      <c r="B123" s="182" t="s">
        <v>385</v>
      </c>
      <c r="C123" s="17">
        <f>C124+C126</f>
        <v>0</v>
      </c>
      <c r="D123" s="5">
        <f t="shared" ref="D123:E123" si="88">D124+D126</f>
        <v>0</v>
      </c>
      <c r="E123" s="5">
        <f t="shared" si="88"/>
        <v>152558.17000000001</v>
      </c>
      <c r="F123" s="49"/>
      <c r="G123" s="44">
        <f>G124+G126</f>
        <v>0</v>
      </c>
      <c r="H123" s="5">
        <f t="shared" ref="H123" si="89">H124+H126</f>
        <v>0</v>
      </c>
      <c r="I123" s="5">
        <f>I124+I126</f>
        <v>11000</v>
      </c>
      <c r="J123" s="5">
        <f>J124+J126</f>
        <v>11000</v>
      </c>
      <c r="K123" s="51"/>
      <c r="L123" s="17">
        <f t="shared" ref="L123:N123" si="90">L124+L126</f>
        <v>0</v>
      </c>
      <c r="M123" s="5">
        <f t="shared" si="90"/>
        <v>0</v>
      </c>
      <c r="N123" s="84">
        <f t="shared" si="90"/>
        <v>0</v>
      </c>
      <c r="O123" s="157">
        <f t="shared" si="55"/>
        <v>0</v>
      </c>
      <c r="P123" s="166">
        <f t="shared" si="56"/>
        <v>0</v>
      </c>
    </row>
    <row r="124" spans="1:16" ht="45" x14ac:dyDescent="0.2">
      <c r="A124" s="195" t="s">
        <v>374</v>
      </c>
      <c r="B124" s="182" t="s">
        <v>384</v>
      </c>
      <c r="C124" s="17">
        <f>C125</f>
        <v>0</v>
      </c>
      <c r="D124" s="5">
        <f t="shared" ref="D124:E128" si="91">D125</f>
        <v>0</v>
      </c>
      <c r="E124" s="104">
        <v>152558.17000000001</v>
      </c>
      <c r="F124" s="49"/>
      <c r="G124" s="44">
        <f>G125</f>
        <v>0</v>
      </c>
      <c r="H124" s="5">
        <f>H125</f>
        <v>0</v>
      </c>
      <c r="I124" s="5">
        <f>I125</f>
        <v>0</v>
      </c>
      <c r="J124" s="5">
        <f>J125</f>
        <v>0</v>
      </c>
      <c r="K124" s="51"/>
      <c r="L124" s="17">
        <f t="shared" ref="L124:N124" si="92">L125</f>
        <v>0</v>
      </c>
      <c r="M124" s="5">
        <f t="shared" si="92"/>
        <v>0</v>
      </c>
      <c r="N124" s="84">
        <f t="shared" si="92"/>
        <v>0</v>
      </c>
      <c r="O124" s="157">
        <f t="shared" si="55"/>
        <v>0</v>
      </c>
      <c r="P124" s="166"/>
    </row>
    <row r="125" spans="1:16" ht="56.25" x14ac:dyDescent="0.2">
      <c r="A125" s="195" t="s">
        <v>375</v>
      </c>
      <c r="B125" s="182" t="s">
        <v>383</v>
      </c>
      <c r="C125" s="17">
        <v>0</v>
      </c>
      <c r="D125" s="5">
        <v>0</v>
      </c>
      <c r="E125" s="104">
        <v>152558.17000000001</v>
      </c>
      <c r="F125" s="49"/>
      <c r="G125" s="44">
        <v>0</v>
      </c>
      <c r="H125" s="5">
        <v>0</v>
      </c>
      <c r="I125" s="5">
        <v>0</v>
      </c>
      <c r="J125" s="5">
        <v>0</v>
      </c>
      <c r="K125" s="51"/>
      <c r="L125" s="17">
        <v>0</v>
      </c>
      <c r="M125" s="5">
        <v>0</v>
      </c>
      <c r="N125" s="84">
        <v>0</v>
      </c>
      <c r="O125" s="157">
        <f t="shared" si="55"/>
        <v>0</v>
      </c>
      <c r="P125" s="166"/>
    </row>
    <row r="126" spans="1:16" ht="67.5" x14ac:dyDescent="0.2">
      <c r="A126" s="23" t="s">
        <v>407</v>
      </c>
      <c r="B126" s="179" t="s">
        <v>438</v>
      </c>
      <c r="C126" s="17">
        <f>C127</f>
        <v>0</v>
      </c>
      <c r="D126" s="5">
        <f t="shared" ref="D126:E126" si="93">D127</f>
        <v>0</v>
      </c>
      <c r="E126" s="5">
        <f t="shared" si="93"/>
        <v>0</v>
      </c>
      <c r="F126" s="49"/>
      <c r="G126" s="44">
        <f>G127</f>
        <v>0</v>
      </c>
      <c r="H126" s="104">
        <v>0</v>
      </c>
      <c r="I126" s="104">
        <f>I127</f>
        <v>11000</v>
      </c>
      <c r="J126" s="104">
        <f>J127</f>
        <v>11000</v>
      </c>
      <c r="K126" s="51"/>
      <c r="L126" s="17">
        <f t="shared" ref="L126:N126" si="94">L127</f>
        <v>0</v>
      </c>
      <c r="M126" s="5">
        <f t="shared" si="94"/>
        <v>0</v>
      </c>
      <c r="N126" s="84">
        <f t="shared" si="94"/>
        <v>0</v>
      </c>
      <c r="O126" s="157"/>
      <c r="P126" s="166">
        <f t="shared" si="56"/>
        <v>0</v>
      </c>
    </row>
    <row r="127" spans="1:16" ht="56.25" x14ac:dyDescent="0.2">
      <c r="A127" s="23" t="s">
        <v>408</v>
      </c>
      <c r="B127" s="179" t="s">
        <v>439</v>
      </c>
      <c r="C127" s="17">
        <v>0</v>
      </c>
      <c r="D127" s="5">
        <v>0</v>
      </c>
      <c r="E127" s="5">
        <v>0</v>
      </c>
      <c r="F127" s="49"/>
      <c r="G127" s="44">
        <v>0</v>
      </c>
      <c r="H127" s="104">
        <v>0</v>
      </c>
      <c r="I127" s="104">
        <v>11000</v>
      </c>
      <c r="J127" s="104">
        <v>11000</v>
      </c>
      <c r="K127" s="51"/>
      <c r="L127" s="17">
        <v>0</v>
      </c>
      <c r="M127" s="5">
        <v>0</v>
      </c>
      <c r="N127" s="84">
        <v>0</v>
      </c>
      <c r="O127" s="157"/>
      <c r="P127" s="166">
        <f t="shared" si="56"/>
        <v>0</v>
      </c>
    </row>
    <row r="128" spans="1:16" ht="45" x14ac:dyDescent="0.2">
      <c r="A128" s="194" t="s">
        <v>392</v>
      </c>
      <c r="B128" s="176" t="s">
        <v>440</v>
      </c>
      <c r="C128" s="17">
        <f>C129</f>
        <v>0</v>
      </c>
      <c r="D128" s="5">
        <f t="shared" si="91"/>
        <v>0</v>
      </c>
      <c r="E128" s="5">
        <f t="shared" si="91"/>
        <v>0</v>
      </c>
      <c r="F128" s="49"/>
      <c r="G128" s="46">
        <f>G129</f>
        <v>5000</v>
      </c>
      <c r="H128" s="104">
        <v>5000</v>
      </c>
      <c r="I128" s="104">
        <f>I129</f>
        <v>0</v>
      </c>
      <c r="J128" s="104">
        <f>J129</f>
        <v>5000</v>
      </c>
      <c r="K128" s="51">
        <f t="shared" si="58"/>
        <v>1</v>
      </c>
      <c r="L128" s="120">
        <f t="shared" ref="L128:N128" si="95">L129</f>
        <v>0</v>
      </c>
      <c r="M128" s="104">
        <f t="shared" si="95"/>
        <v>0</v>
      </c>
      <c r="N128" s="115">
        <f t="shared" si="95"/>
        <v>0</v>
      </c>
      <c r="O128" s="157"/>
      <c r="P128" s="166">
        <f t="shared" si="56"/>
        <v>0</v>
      </c>
    </row>
    <row r="129" spans="1:18" ht="33.75" x14ac:dyDescent="0.2">
      <c r="A129" s="194" t="s">
        <v>393</v>
      </c>
      <c r="B129" s="176" t="s">
        <v>441</v>
      </c>
      <c r="C129" s="17">
        <v>0</v>
      </c>
      <c r="D129" s="5">
        <v>0</v>
      </c>
      <c r="E129" s="5">
        <v>0</v>
      </c>
      <c r="F129" s="49"/>
      <c r="G129" s="46">
        <v>5000</v>
      </c>
      <c r="H129" s="104">
        <v>5000</v>
      </c>
      <c r="I129" s="104">
        <v>0</v>
      </c>
      <c r="J129" s="104">
        <v>5000</v>
      </c>
      <c r="K129" s="51">
        <f t="shared" si="58"/>
        <v>1</v>
      </c>
      <c r="L129" s="120">
        <v>0</v>
      </c>
      <c r="M129" s="104">
        <v>0</v>
      </c>
      <c r="N129" s="115">
        <v>0</v>
      </c>
      <c r="O129" s="157"/>
      <c r="P129" s="166">
        <f t="shared" si="56"/>
        <v>0</v>
      </c>
    </row>
    <row r="130" spans="1:18" ht="22.5" x14ac:dyDescent="0.2">
      <c r="A130" s="193" t="s">
        <v>309</v>
      </c>
      <c r="B130" s="181" t="s">
        <v>310</v>
      </c>
      <c r="C130" s="17">
        <f t="shared" ref="C130" si="96">C131+C133</f>
        <v>0</v>
      </c>
      <c r="D130" s="5">
        <f>D131+D133</f>
        <v>2993600</v>
      </c>
      <c r="E130" s="104">
        <v>3066341.47</v>
      </c>
      <c r="F130" s="49">
        <f t="shared" ref="F130:F137" si="97">E130/D130*100</f>
        <v>102.42989945216463</v>
      </c>
      <c r="G130" s="44">
        <f>G131+G133</f>
        <v>21000</v>
      </c>
      <c r="H130" s="5">
        <f t="shared" ref="H130" si="98">H131+H133</f>
        <v>482400</v>
      </c>
      <c r="I130" s="5">
        <f>I131+I133+I136</f>
        <v>963061.29999999993</v>
      </c>
      <c r="J130" s="5">
        <f>J131+J133+J136</f>
        <v>941000</v>
      </c>
      <c r="K130" s="51">
        <f t="shared" si="58"/>
        <v>1.9506633499170813</v>
      </c>
      <c r="L130" s="17">
        <f t="shared" ref="L130:N130" si="99">L131+L133</f>
        <v>115150</v>
      </c>
      <c r="M130" s="5">
        <f t="shared" si="99"/>
        <v>115150</v>
      </c>
      <c r="N130" s="84">
        <f t="shared" si="99"/>
        <v>115150</v>
      </c>
      <c r="O130" s="157">
        <f t="shared" si="55"/>
        <v>3.7552895242290149E-2</v>
      </c>
      <c r="P130" s="166">
        <f t="shared" si="56"/>
        <v>0.12236981934112647</v>
      </c>
    </row>
    <row r="131" spans="1:18" ht="33.75" x14ac:dyDescent="0.2">
      <c r="A131" s="24" t="s">
        <v>333</v>
      </c>
      <c r="B131" s="181" t="s">
        <v>334</v>
      </c>
      <c r="C131" s="17">
        <f t="shared" ref="C131" si="100">C132</f>
        <v>0</v>
      </c>
      <c r="D131" s="5">
        <f>D132</f>
        <v>1549000</v>
      </c>
      <c r="E131" s="104">
        <v>1559510.22</v>
      </c>
      <c r="F131" s="49">
        <f t="shared" si="97"/>
        <v>100.67851646223369</v>
      </c>
      <c r="G131" s="44">
        <f t="shared" ref="G131:J131" si="101">G132</f>
        <v>0</v>
      </c>
      <c r="H131" s="5">
        <f t="shared" si="101"/>
        <v>0</v>
      </c>
      <c r="I131" s="5">
        <f t="shared" si="101"/>
        <v>0</v>
      </c>
      <c r="J131" s="5">
        <f t="shared" si="101"/>
        <v>0</v>
      </c>
      <c r="K131" s="51"/>
      <c r="L131" s="17">
        <f t="shared" ref="L131:N131" si="102">L132</f>
        <v>0</v>
      </c>
      <c r="M131" s="5">
        <f t="shared" si="102"/>
        <v>0</v>
      </c>
      <c r="N131" s="84">
        <f t="shared" si="102"/>
        <v>0</v>
      </c>
      <c r="O131" s="157">
        <f t="shared" si="55"/>
        <v>0</v>
      </c>
      <c r="P131" s="166"/>
    </row>
    <row r="132" spans="1:18" ht="45" x14ac:dyDescent="0.2">
      <c r="A132" s="24" t="s">
        <v>335</v>
      </c>
      <c r="B132" s="181" t="s">
        <v>336</v>
      </c>
      <c r="C132" s="17">
        <v>0</v>
      </c>
      <c r="D132" s="5">
        <v>1549000</v>
      </c>
      <c r="E132" s="104">
        <v>1559510.22</v>
      </c>
      <c r="F132" s="49">
        <f t="shared" si="97"/>
        <v>100.67851646223369</v>
      </c>
      <c r="G132" s="44">
        <v>0</v>
      </c>
      <c r="H132" s="5">
        <v>0</v>
      </c>
      <c r="I132" s="5">
        <v>0</v>
      </c>
      <c r="J132" s="5">
        <v>0</v>
      </c>
      <c r="K132" s="51"/>
      <c r="L132" s="17">
        <v>0</v>
      </c>
      <c r="M132" s="5">
        <v>0</v>
      </c>
      <c r="N132" s="84">
        <v>0</v>
      </c>
      <c r="O132" s="157">
        <f t="shared" si="55"/>
        <v>0</v>
      </c>
      <c r="P132" s="166"/>
    </row>
    <row r="133" spans="1:18" ht="56.25" x14ac:dyDescent="0.2">
      <c r="A133" s="193" t="s">
        <v>307</v>
      </c>
      <c r="B133" s="181" t="s">
        <v>308</v>
      </c>
      <c r="C133" s="17">
        <f t="shared" ref="C133" si="103">C134+C135</f>
        <v>0</v>
      </c>
      <c r="D133" s="5">
        <f>D134+D135</f>
        <v>1444600</v>
      </c>
      <c r="E133" s="104">
        <v>1506831.25</v>
      </c>
      <c r="F133" s="49">
        <f t="shared" si="97"/>
        <v>104.30785338502007</v>
      </c>
      <c r="G133" s="44">
        <f>G134+G135</f>
        <v>21000</v>
      </c>
      <c r="H133" s="5">
        <f>H134+H135</f>
        <v>482400</v>
      </c>
      <c r="I133" s="104">
        <f>I134+I135</f>
        <v>963045.95</v>
      </c>
      <c r="J133" s="104">
        <f>J134+J135</f>
        <v>941000</v>
      </c>
      <c r="K133" s="51">
        <f t="shared" si="58"/>
        <v>1.9506633499170813</v>
      </c>
      <c r="L133" s="17">
        <f t="shared" ref="L133:N133" si="104">L134+L135</f>
        <v>115150</v>
      </c>
      <c r="M133" s="5">
        <f t="shared" si="104"/>
        <v>115150</v>
      </c>
      <c r="N133" s="84">
        <f t="shared" si="104"/>
        <v>115150</v>
      </c>
      <c r="O133" s="157">
        <f t="shared" si="55"/>
        <v>7.6418643428054739E-2</v>
      </c>
      <c r="P133" s="166">
        <f t="shared" si="56"/>
        <v>0.12236981934112647</v>
      </c>
    </row>
    <row r="134" spans="1:18" ht="56.25" x14ac:dyDescent="0.2">
      <c r="A134" s="193" t="s">
        <v>306</v>
      </c>
      <c r="B134" s="181" t="s">
        <v>305</v>
      </c>
      <c r="C134" s="17">
        <v>0</v>
      </c>
      <c r="D134" s="5">
        <v>1435000</v>
      </c>
      <c r="E134" s="104">
        <v>1496224.68</v>
      </c>
      <c r="F134" s="49">
        <f t="shared" si="97"/>
        <v>104.26652822299651</v>
      </c>
      <c r="G134" s="44">
        <v>0</v>
      </c>
      <c r="H134" s="104">
        <v>461400</v>
      </c>
      <c r="I134" s="104">
        <v>943449.12</v>
      </c>
      <c r="J134" s="104">
        <v>926500</v>
      </c>
      <c r="K134" s="51">
        <f t="shared" si="58"/>
        <v>2.0080190723883833</v>
      </c>
      <c r="L134" s="40">
        <v>99150</v>
      </c>
      <c r="M134" s="31">
        <v>99150</v>
      </c>
      <c r="N134" s="79">
        <v>99150</v>
      </c>
      <c r="O134" s="157">
        <f t="shared" si="55"/>
        <v>6.6266785547208065E-2</v>
      </c>
      <c r="P134" s="166">
        <f t="shared" si="56"/>
        <v>0.10701565029681598</v>
      </c>
    </row>
    <row r="135" spans="1:18" ht="56.25" x14ac:dyDescent="0.2">
      <c r="A135" s="193" t="s">
        <v>337</v>
      </c>
      <c r="B135" s="181" t="s">
        <v>332</v>
      </c>
      <c r="C135" s="17">
        <v>0</v>
      </c>
      <c r="D135" s="5">
        <v>9600</v>
      </c>
      <c r="E135" s="104">
        <v>10606.57</v>
      </c>
      <c r="F135" s="49">
        <f t="shared" si="97"/>
        <v>110.48510416666666</v>
      </c>
      <c r="G135" s="46">
        <v>21000</v>
      </c>
      <c r="H135" s="104">
        <v>21000</v>
      </c>
      <c r="I135" s="104">
        <v>19596.830000000002</v>
      </c>
      <c r="J135" s="104">
        <v>14500</v>
      </c>
      <c r="K135" s="51">
        <f t="shared" si="58"/>
        <v>0.69047619047619047</v>
      </c>
      <c r="L135" s="40">
        <v>16000</v>
      </c>
      <c r="M135" s="31">
        <v>16000</v>
      </c>
      <c r="N135" s="79">
        <v>16000</v>
      </c>
      <c r="O135" s="157">
        <f t="shared" ref="O135:O198" si="105">L135/E135</f>
        <v>1.5084989775205369</v>
      </c>
      <c r="P135" s="166">
        <f t="shared" ref="P135:P198" si="106">L135/J135</f>
        <v>1.103448275862069</v>
      </c>
    </row>
    <row r="136" spans="1:18" x14ac:dyDescent="0.2">
      <c r="A136" s="193" t="s">
        <v>338</v>
      </c>
      <c r="B136" s="181" t="s">
        <v>341</v>
      </c>
      <c r="C136" s="17">
        <f t="shared" ref="C136" si="107">C137</f>
        <v>0</v>
      </c>
      <c r="D136" s="5">
        <f>D137</f>
        <v>11250</v>
      </c>
      <c r="E136" s="104">
        <v>11237</v>
      </c>
      <c r="F136" s="49">
        <f t="shared" si="97"/>
        <v>99.884444444444441</v>
      </c>
      <c r="G136" s="44">
        <f t="shared" ref="G136" si="108">G137</f>
        <v>0</v>
      </c>
      <c r="H136" s="104">
        <v>0</v>
      </c>
      <c r="I136" s="104">
        <v>15.35</v>
      </c>
      <c r="J136" s="104">
        <f>J137</f>
        <v>0</v>
      </c>
      <c r="K136" s="51"/>
      <c r="L136" s="17">
        <f t="shared" ref="L136:N136" si="109">L137</f>
        <v>0</v>
      </c>
      <c r="M136" s="5">
        <f t="shared" si="109"/>
        <v>0</v>
      </c>
      <c r="N136" s="84">
        <f t="shared" si="109"/>
        <v>0</v>
      </c>
      <c r="O136" s="157">
        <f t="shared" si="105"/>
        <v>0</v>
      </c>
      <c r="P136" s="166"/>
    </row>
    <row r="137" spans="1:18" ht="90" x14ac:dyDescent="0.2">
      <c r="A137" s="193" t="s">
        <v>339</v>
      </c>
      <c r="B137" s="181" t="s">
        <v>340</v>
      </c>
      <c r="C137" s="17">
        <v>0</v>
      </c>
      <c r="D137" s="5">
        <v>11250</v>
      </c>
      <c r="E137" s="104">
        <v>11237</v>
      </c>
      <c r="F137" s="49">
        <f t="shared" si="97"/>
        <v>99.884444444444441</v>
      </c>
      <c r="G137" s="44">
        <v>0</v>
      </c>
      <c r="H137" s="104">
        <v>0</v>
      </c>
      <c r="I137" s="104">
        <v>15.35</v>
      </c>
      <c r="J137" s="104">
        <v>0</v>
      </c>
      <c r="K137" s="51"/>
      <c r="L137" s="17">
        <v>0</v>
      </c>
      <c r="M137" s="5">
        <v>0</v>
      </c>
      <c r="N137" s="84">
        <v>0</v>
      </c>
      <c r="O137" s="157">
        <f t="shared" si="105"/>
        <v>0</v>
      </c>
      <c r="P137" s="166"/>
    </row>
    <row r="138" spans="1:18" x14ac:dyDescent="0.2">
      <c r="A138" s="192" t="s">
        <v>122</v>
      </c>
      <c r="B138" s="177" t="s">
        <v>123</v>
      </c>
      <c r="C138" s="53">
        <f>C139+C141</f>
        <v>33300</v>
      </c>
      <c r="D138" s="34">
        <f>D139+D141</f>
        <v>0</v>
      </c>
      <c r="E138" s="34">
        <f t="shared" ref="D138:E139" si="110">E139</f>
        <v>0</v>
      </c>
      <c r="F138" s="50"/>
      <c r="G138" s="124">
        <f>G139+G141</f>
        <v>844767</v>
      </c>
      <c r="H138" s="108">
        <v>778326.49</v>
      </c>
      <c r="I138" s="108">
        <v>534946.49</v>
      </c>
      <c r="J138" s="108">
        <f>J139+J141</f>
        <v>535000</v>
      </c>
      <c r="K138" s="51">
        <f t="shared" ref="K138:K198" si="111">J138/H138</f>
        <v>0.68737221060020715</v>
      </c>
      <c r="L138" s="53">
        <f t="shared" ref="L138:N138" si="112">L139+L141</f>
        <v>611947</v>
      </c>
      <c r="M138" s="34">
        <f t="shared" si="112"/>
        <v>0</v>
      </c>
      <c r="N138" s="82">
        <f t="shared" si="112"/>
        <v>0</v>
      </c>
      <c r="O138" s="157"/>
      <c r="P138" s="166">
        <f t="shared" si="106"/>
        <v>1.1438261682242992</v>
      </c>
    </row>
    <row r="139" spans="1:18" x14ac:dyDescent="0.2">
      <c r="A139" s="22" t="s">
        <v>124</v>
      </c>
      <c r="B139" s="175" t="s">
        <v>125</v>
      </c>
      <c r="C139" s="26">
        <f t="shared" ref="C139" si="113">C140</f>
        <v>33300</v>
      </c>
      <c r="D139" s="7">
        <f t="shared" si="110"/>
        <v>0</v>
      </c>
      <c r="E139" s="33">
        <f t="shared" si="110"/>
        <v>0</v>
      </c>
      <c r="F139" s="49"/>
      <c r="G139" s="46">
        <f>G140</f>
        <v>3400</v>
      </c>
      <c r="H139" s="104">
        <v>3400</v>
      </c>
      <c r="I139" s="104">
        <v>0</v>
      </c>
      <c r="J139" s="104">
        <f>J140</f>
        <v>0</v>
      </c>
      <c r="K139" s="51">
        <f t="shared" si="111"/>
        <v>0</v>
      </c>
      <c r="L139" s="112">
        <f>L140</f>
        <v>0</v>
      </c>
      <c r="M139" s="7">
        <f t="shared" ref="M139:N139" si="114">M140</f>
        <v>0</v>
      </c>
      <c r="N139" s="114">
        <f t="shared" si="114"/>
        <v>0</v>
      </c>
      <c r="O139" s="157"/>
      <c r="P139" s="166"/>
    </row>
    <row r="140" spans="1:18" x14ac:dyDescent="0.2">
      <c r="A140" s="22" t="s">
        <v>126</v>
      </c>
      <c r="B140" s="175" t="s">
        <v>127</v>
      </c>
      <c r="C140" s="26">
        <v>33300</v>
      </c>
      <c r="D140" s="7">
        <v>0</v>
      </c>
      <c r="E140" s="33">
        <v>0</v>
      </c>
      <c r="F140" s="49"/>
      <c r="G140" s="46">
        <v>3400</v>
      </c>
      <c r="H140" s="104">
        <v>3400</v>
      </c>
      <c r="I140" s="104">
        <v>0</v>
      </c>
      <c r="J140" s="104">
        <v>0</v>
      </c>
      <c r="K140" s="51">
        <f t="shared" si="111"/>
        <v>0</v>
      </c>
      <c r="L140" s="112">
        <v>0</v>
      </c>
      <c r="M140" s="7">
        <v>0</v>
      </c>
      <c r="N140" s="114">
        <v>0</v>
      </c>
      <c r="O140" s="157"/>
      <c r="P140" s="166"/>
    </row>
    <row r="141" spans="1:18" x14ac:dyDescent="0.2">
      <c r="A141" s="24" t="s">
        <v>394</v>
      </c>
      <c r="B141" s="176" t="s">
        <v>396</v>
      </c>
      <c r="C141" s="26">
        <f>C142</f>
        <v>0</v>
      </c>
      <c r="D141" s="33">
        <f t="shared" ref="D141:E141" si="115">D142</f>
        <v>0</v>
      </c>
      <c r="E141" s="33">
        <f t="shared" si="115"/>
        <v>0</v>
      </c>
      <c r="F141" s="49"/>
      <c r="G141" s="46">
        <f>G142</f>
        <v>841367</v>
      </c>
      <c r="H141" s="104">
        <v>774926.49</v>
      </c>
      <c r="I141" s="104">
        <v>534946.49</v>
      </c>
      <c r="J141" s="104">
        <f>J142</f>
        <v>535000</v>
      </c>
      <c r="K141" s="51">
        <f t="shared" si="111"/>
        <v>0.69038806506666206</v>
      </c>
      <c r="L141" s="40">
        <f>L142</f>
        <v>611947</v>
      </c>
      <c r="M141" s="31">
        <f t="shared" ref="M141:N141" si="116">M142</f>
        <v>0</v>
      </c>
      <c r="N141" s="79">
        <f t="shared" si="116"/>
        <v>0</v>
      </c>
      <c r="O141" s="157"/>
      <c r="P141" s="166">
        <f t="shared" si="106"/>
        <v>1.1438261682242992</v>
      </c>
    </row>
    <row r="142" spans="1:18" ht="23.25" thickBot="1" x14ac:dyDescent="0.25">
      <c r="A142" s="196" t="s">
        <v>395</v>
      </c>
      <c r="B142" s="183" t="s">
        <v>397</v>
      </c>
      <c r="C142" s="127">
        <v>0</v>
      </c>
      <c r="D142" s="128">
        <v>0</v>
      </c>
      <c r="E142" s="128">
        <v>0</v>
      </c>
      <c r="F142" s="129"/>
      <c r="G142" s="130">
        <f>342550+498817</f>
        <v>841367</v>
      </c>
      <c r="H142" s="131">
        <v>774926.49</v>
      </c>
      <c r="I142" s="131">
        <v>534946.49</v>
      </c>
      <c r="J142" s="131">
        <v>535000</v>
      </c>
      <c r="K142" s="132">
        <f t="shared" si="111"/>
        <v>0.69038806506666206</v>
      </c>
      <c r="L142" s="133">
        <f>396747+215200</f>
        <v>611947</v>
      </c>
      <c r="M142" s="134">
        <v>0</v>
      </c>
      <c r="N142" s="135">
        <v>0</v>
      </c>
      <c r="O142" s="159"/>
      <c r="P142" s="168">
        <f t="shared" si="106"/>
        <v>1.1438261682242992</v>
      </c>
      <c r="R142" s="11"/>
    </row>
    <row r="143" spans="1:18" ht="13.5" thickBot="1" x14ac:dyDescent="0.25">
      <c r="A143" s="139" t="s">
        <v>128</v>
      </c>
      <c r="B143" s="184" t="s">
        <v>129</v>
      </c>
      <c r="C143" s="91">
        <f>C144+C210+C213</f>
        <v>838785627</v>
      </c>
      <c r="D143" s="92">
        <f>D144+D210+D213</f>
        <v>825355253</v>
      </c>
      <c r="E143" s="92">
        <f>E144+E210+E213+E219</f>
        <v>795735567.73000002</v>
      </c>
      <c r="F143" s="65">
        <f t="shared" ref="F143:F150" si="117">E143/D143*100</f>
        <v>96.411280456223139</v>
      </c>
      <c r="G143" s="93">
        <f>G144+G210+G213+G219</f>
        <v>1022443189</v>
      </c>
      <c r="H143" s="92">
        <f t="shared" ref="H143:I143" si="118">H144+H210+H213+H219</f>
        <v>962641074.88</v>
      </c>
      <c r="I143" s="92">
        <f t="shared" si="118"/>
        <v>848082109.74999988</v>
      </c>
      <c r="J143" s="92">
        <f t="shared" ref="J143" si="119">J144+J210+J213+J219</f>
        <v>961830827</v>
      </c>
      <c r="K143" s="66">
        <f t="shared" si="111"/>
        <v>0.99915830738876277</v>
      </c>
      <c r="L143" s="91">
        <f t="shared" ref="L143:N143" si="120">L144+L210+L213+L219</f>
        <v>922435570</v>
      </c>
      <c r="M143" s="92">
        <f t="shared" si="120"/>
        <v>722875670</v>
      </c>
      <c r="N143" s="95">
        <f t="shared" si="120"/>
        <v>615542800</v>
      </c>
      <c r="O143" s="155">
        <f t="shared" si="105"/>
        <v>1.1592237514673849</v>
      </c>
      <c r="P143" s="164">
        <f t="shared" si="106"/>
        <v>0.9590413865992673</v>
      </c>
    </row>
    <row r="144" spans="1:18" ht="32.25" x14ac:dyDescent="0.2">
      <c r="A144" s="27" t="s">
        <v>130</v>
      </c>
      <c r="B144" s="185" t="s">
        <v>131</v>
      </c>
      <c r="C144" s="136">
        <f>C145+C150+C179+C196</f>
        <v>838785627</v>
      </c>
      <c r="D144" s="97">
        <f>D145+D150+D179+D196</f>
        <v>825242253</v>
      </c>
      <c r="E144" s="97">
        <f>E145+E150+E179+E196</f>
        <v>798249201.5</v>
      </c>
      <c r="F144" s="140">
        <f t="shared" si="117"/>
        <v>96.729075443983604</v>
      </c>
      <c r="G144" s="137">
        <f>G145+G150+G179+G196</f>
        <v>1022443189</v>
      </c>
      <c r="H144" s="97">
        <f t="shared" ref="H144:I144" si="121">H145+H150+H179+H196</f>
        <v>955565407</v>
      </c>
      <c r="I144" s="97">
        <f t="shared" si="121"/>
        <v>841421487.32999992</v>
      </c>
      <c r="J144" s="97">
        <f t="shared" ref="J144" si="122">J145+J150+J179+J196</f>
        <v>955170207</v>
      </c>
      <c r="K144" s="68">
        <f t="shared" si="111"/>
        <v>0.99958642286848709</v>
      </c>
      <c r="L144" s="136">
        <f t="shared" ref="L144:N144" si="123">L145+L150+L179+L196</f>
        <v>922435570</v>
      </c>
      <c r="M144" s="97">
        <f t="shared" si="123"/>
        <v>722875670</v>
      </c>
      <c r="N144" s="138">
        <f t="shared" si="123"/>
        <v>615542800</v>
      </c>
      <c r="O144" s="156">
        <f t="shared" si="105"/>
        <v>1.1555734327909628</v>
      </c>
      <c r="P144" s="165">
        <f t="shared" si="106"/>
        <v>0.96572900121873251</v>
      </c>
    </row>
    <row r="145" spans="1:16" ht="22.5" x14ac:dyDescent="0.2">
      <c r="A145" s="24" t="s">
        <v>132</v>
      </c>
      <c r="B145" s="186" t="s">
        <v>173</v>
      </c>
      <c r="C145" s="26">
        <f t="shared" ref="C145:D145" si="124">C146+C148</f>
        <v>292799500</v>
      </c>
      <c r="D145" s="7">
        <f t="shared" si="124"/>
        <v>250914400</v>
      </c>
      <c r="E145" s="104">
        <v>250914400</v>
      </c>
      <c r="F145" s="49">
        <f t="shared" si="117"/>
        <v>100</v>
      </c>
      <c r="G145" s="46">
        <f>G146</f>
        <v>218756000</v>
      </c>
      <c r="H145" s="104">
        <f>H146+H148</f>
        <v>225871600</v>
      </c>
      <c r="I145" s="104">
        <f>I146+I148</f>
        <v>190967277</v>
      </c>
      <c r="J145" s="104">
        <f>J146+J148</f>
        <v>225571600</v>
      </c>
      <c r="K145" s="51">
        <f t="shared" si="111"/>
        <v>0.99867181177270625</v>
      </c>
      <c r="L145" s="40">
        <f>L146+L148</f>
        <v>240513000</v>
      </c>
      <c r="M145" s="31">
        <f t="shared" ref="M145:N145" si="125">M146+M148</f>
        <v>56408000</v>
      </c>
      <c r="N145" s="79">
        <f t="shared" si="125"/>
        <v>53532000</v>
      </c>
      <c r="O145" s="157">
        <f t="shared" si="105"/>
        <v>0.95854602206967798</v>
      </c>
      <c r="P145" s="166">
        <f t="shared" si="106"/>
        <v>1.0662379483942128</v>
      </c>
    </row>
    <row r="146" spans="1:16" x14ac:dyDescent="0.2">
      <c r="A146" s="24" t="s">
        <v>133</v>
      </c>
      <c r="B146" s="176" t="s">
        <v>174</v>
      </c>
      <c r="C146" s="26">
        <f t="shared" ref="C146:D146" si="126">C147</f>
        <v>239954000</v>
      </c>
      <c r="D146" s="7">
        <f t="shared" si="126"/>
        <v>246442000</v>
      </c>
      <c r="E146" s="104">
        <v>246442000</v>
      </c>
      <c r="F146" s="49">
        <f t="shared" si="117"/>
        <v>100</v>
      </c>
      <c r="G146" s="46">
        <f>G147</f>
        <v>218756000</v>
      </c>
      <c r="H146" s="104">
        <f>H147</f>
        <v>218756000</v>
      </c>
      <c r="I146" s="104">
        <f>I147</f>
        <v>185157900</v>
      </c>
      <c r="J146" s="104">
        <f>J147</f>
        <v>218756000</v>
      </c>
      <c r="K146" s="51">
        <f t="shared" si="111"/>
        <v>1</v>
      </c>
      <c r="L146" s="40">
        <f>L147</f>
        <v>240513000</v>
      </c>
      <c r="M146" s="31">
        <f t="shared" ref="M146:N146" si="127">M147</f>
        <v>56408000</v>
      </c>
      <c r="N146" s="79">
        <f t="shared" si="127"/>
        <v>53532000</v>
      </c>
      <c r="O146" s="157">
        <f t="shared" si="105"/>
        <v>0.97594160086348913</v>
      </c>
      <c r="P146" s="166">
        <f t="shared" si="106"/>
        <v>1.0994578434420084</v>
      </c>
    </row>
    <row r="147" spans="1:16" ht="22.5" x14ac:dyDescent="0.2">
      <c r="A147" s="24" t="s">
        <v>134</v>
      </c>
      <c r="B147" s="176" t="s">
        <v>175</v>
      </c>
      <c r="C147" s="26">
        <v>239954000</v>
      </c>
      <c r="D147" s="7">
        <f>239954000+6488000</f>
        <v>246442000</v>
      </c>
      <c r="E147" s="104">
        <v>246442000</v>
      </c>
      <c r="F147" s="49">
        <f t="shared" si="117"/>
        <v>100</v>
      </c>
      <c r="G147" s="46">
        <f>181904000+36852000</f>
        <v>218756000</v>
      </c>
      <c r="H147" s="104">
        <v>218756000</v>
      </c>
      <c r="I147" s="104">
        <v>185157900</v>
      </c>
      <c r="J147" s="104">
        <v>218756000</v>
      </c>
      <c r="K147" s="51">
        <f t="shared" si="111"/>
        <v>1</v>
      </c>
      <c r="L147" s="40">
        <v>240513000</v>
      </c>
      <c r="M147" s="31">
        <v>56408000</v>
      </c>
      <c r="N147" s="79">
        <v>53532000</v>
      </c>
      <c r="O147" s="157">
        <f t="shared" si="105"/>
        <v>0.97594160086348913</v>
      </c>
      <c r="P147" s="166">
        <f t="shared" si="106"/>
        <v>1.0994578434420084</v>
      </c>
    </row>
    <row r="148" spans="1:16" ht="22.5" x14ac:dyDescent="0.2">
      <c r="A148" s="24" t="s">
        <v>292</v>
      </c>
      <c r="B148" s="176" t="s">
        <v>294</v>
      </c>
      <c r="C148" s="26">
        <f t="shared" ref="C148:D148" si="128">C149</f>
        <v>52845500</v>
      </c>
      <c r="D148" s="7">
        <f t="shared" si="128"/>
        <v>4472400</v>
      </c>
      <c r="E148" s="104">
        <v>4472400</v>
      </c>
      <c r="F148" s="49">
        <f t="shared" si="117"/>
        <v>100</v>
      </c>
      <c r="G148" s="113">
        <f t="shared" ref="G148" si="129">G149</f>
        <v>0</v>
      </c>
      <c r="H148" s="104">
        <f>H149</f>
        <v>7115600</v>
      </c>
      <c r="I148" s="104">
        <f>I149</f>
        <v>5809377</v>
      </c>
      <c r="J148" s="104">
        <f>J149</f>
        <v>6815600</v>
      </c>
      <c r="K148" s="51">
        <f t="shared" si="111"/>
        <v>0.95783911405925015</v>
      </c>
      <c r="L148" s="112">
        <f t="shared" ref="L148:N148" si="130">L149</f>
        <v>0</v>
      </c>
      <c r="M148" s="7">
        <f t="shared" si="130"/>
        <v>0</v>
      </c>
      <c r="N148" s="114">
        <f t="shared" si="130"/>
        <v>0</v>
      </c>
      <c r="O148" s="157">
        <f t="shared" si="105"/>
        <v>0</v>
      </c>
      <c r="P148" s="166">
        <f t="shared" si="106"/>
        <v>0</v>
      </c>
    </row>
    <row r="149" spans="1:16" ht="22.5" x14ac:dyDescent="0.2">
      <c r="A149" s="24" t="s">
        <v>293</v>
      </c>
      <c r="B149" s="176" t="s">
        <v>295</v>
      </c>
      <c r="C149" s="26">
        <v>52845500</v>
      </c>
      <c r="D149" s="7">
        <f>52845500+157500+617700+2897200-52045500</f>
        <v>4472400</v>
      </c>
      <c r="E149" s="104">
        <v>4472400</v>
      </c>
      <c r="F149" s="49">
        <f t="shared" si="117"/>
        <v>100</v>
      </c>
      <c r="G149" s="113">
        <f>26000000-26000000</f>
        <v>0</v>
      </c>
      <c r="H149" s="104">
        <f>6815600+300000</f>
        <v>7115600</v>
      </c>
      <c r="I149" s="104">
        <v>5809377</v>
      </c>
      <c r="J149" s="104">
        <v>6815600</v>
      </c>
      <c r="K149" s="51">
        <f t="shared" si="111"/>
        <v>0.95783911405925015</v>
      </c>
      <c r="L149" s="112">
        <f t="shared" ref="L149:N149" si="131">26000000-26000000</f>
        <v>0</v>
      </c>
      <c r="M149" s="7">
        <f t="shared" si="131"/>
        <v>0</v>
      </c>
      <c r="N149" s="114">
        <f t="shared" si="131"/>
        <v>0</v>
      </c>
      <c r="O149" s="157">
        <f t="shared" si="105"/>
        <v>0</v>
      </c>
      <c r="P149" s="166">
        <f t="shared" si="106"/>
        <v>0</v>
      </c>
    </row>
    <row r="150" spans="1:16" ht="22.5" x14ac:dyDescent="0.2">
      <c r="A150" s="24" t="s">
        <v>135</v>
      </c>
      <c r="B150" s="186" t="s">
        <v>176</v>
      </c>
      <c r="C150" s="112">
        <f>C151+C153+C155+C157+C159+C161+C163+C165+C167+C171+C173+C177</f>
        <v>103273127</v>
      </c>
      <c r="D150" s="7">
        <f>D151+D153+D155+D157+D159+D161+D163+D165+D167+D171+D173+D177</f>
        <v>142600453</v>
      </c>
      <c r="E150" s="7">
        <f>E151+E153+E155+E157+E159+E161+E163+E165+E167+E171+E173+E177</f>
        <v>119988148.27999999</v>
      </c>
      <c r="F150" s="49">
        <f t="shared" si="117"/>
        <v>84.142894188421678</v>
      </c>
      <c r="G150" s="45">
        <f>G151+G153+G155+G157+G159+G161+G163+G165+G167+G169+G171+G173+G175+G177</f>
        <v>359108489</v>
      </c>
      <c r="H150" s="8">
        <f>H151+H153+H155+H157+H159+H161+H163+H165+H167+H169+H171+H173+H175+H177</f>
        <v>300531307</v>
      </c>
      <c r="I150" s="8">
        <f>I151+I153+I155+I157+I159+I161+I163+I165+I167+I169+I171+I173+I175+I177</f>
        <v>275703203.01999998</v>
      </c>
      <c r="J150" s="8">
        <f>J151+J153+J155+J157+J159+J161+J163+J165+J167+J169+J171+J173+J175+J177</f>
        <v>300436107</v>
      </c>
      <c r="K150" s="51">
        <f t="shared" si="111"/>
        <v>0.99968322767784057</v>
      </c>
      <c r="L150" s="16">
        <f>L151+L153+L155+L157+L159+L161+L163+L165+L167+L169+L171+L173+L175+L177</f>
        <v>204446970</v>
      </c>
      <c r="M150" s="8">
        <f>M151+M153+M155+M157+M159+M161+M163+M165+M167+M169+M171+M173+M175+M177</f>
        <v>188236570</v>
      </c>
      <c r="N150" s="85">
        <f>N151+N153+N155+N157+N159+N161+N163+N165+N167+N169+N171+N173+N175+N177</f>
        <v>83815000</v>
      </c>
      <c r="O150" s="157">
        <f t="shared" si="105"/>
        <v>1.7038930338595606</v>
      </c>
      <c r="P150" s="166">
        <f t="shared" si="106"/>
        <v>0.68050066299121625</v>
      </c>
    </row>
    <row r="151" spans="1:16" ht="22.5" x14ac:dyDescent="0.2">
      <c r="A151" s="22" t="s">
        <v>183</v>
      </c>
      <c r="B151" s="178" t="s">
        <v>261</v>
      </c>
      <c r="C151" s="112">
        <f t="shared" ref="C151:J151" si="132">C152</f>
        <v>0</v>
      </c>
      <c r="D151" s="7">
        <f t="shared" si="132"/>
        <v>0</v>
      </c>
      <c r="E151" s="33">
        <f t="shared" si="132"/>
        <v>0</v>
      </c>
      <c r="F151" s="49"/>
      <c r="G151" s="113">
        <f t="shared" si="132"/>
        <v>0</v>
      </c>
      <c r="H151" s="7">
        <f t="shared" si="132"/>
        <v>0</v>
      </c>
      <c r="I151" s="7">
        <f t="shared" si="132"/>
        <v>0</v>
      </c>
      <c r="J151" s="7">
        <f t="shared" si="132"/>
        <v>0</v>
      </c>
      <c r="K151" s="51"/>
      <c r="L151" s="40">
        <f>L152</f>
        <v>1994700</v>
      </c>
      <c r="M151" s="31">
        <f t="shared" ref="L151:N153" si="133">M152</f>
        <v>0</v>
      </c>
      <c r="N151" s="79">
        <f t="shared" si="133"/>
        <v>0</v>
      </c>
      <c r="O151" s="157"/>
      <c r="P151" s="166"/>
    </row>
    <row r="152" spans="1:16" ht="33.75" x14ac:dyDescent="0.2">
      <c r="A152" s="22" t="s">
        <v>184</v>
      </c>
      <c r="B152" s="178" t="s">
        <v>262</v>
      </c>
      <c r="C152" s="112">
        <f>26000000-26000000</f>
        <v>0</v>
      </c>
      <c r="D152" s="7">
        <f>26000000-26000000</f>
        <v>0</v>
      </c>
      <c r="E152" s="33">
        <v>0</v>
      </c>
      <c r="F152" s="49"/>
      <c r="G152" s="113">
        <f>26000000-26000000</f>
        <v>0</v>
      </c>
      <c r="H152" s="7">
        <f t="shared" ref="H152:J152" si="134">26000000-26000000</f>
        <v>0</v>
      </c>
      <c r="I152" s="7">
        <f t="shared" si="134"/>
        <v>0</v>
      </c>
      <c r="J152" s="7">
        <f t="shared" si="134"/>
        <v>0</v>
      </c>
      <c r="K152" s="51"/>
      <c r="L152" s="40">
        <v>1994700</v>
      </c>
      <c r="M152" s="31">
        <v>0</v>
      </c>
      <c r="N152" s="79">
        <v>0</v>
      </c>
      <c r="O152" s="157"/>
      <c r="P152" s="166"/>
    </row>
    <row r="153" spans="1:16" ht="67.5" x14ac:dyDescent="0.2">
      <c r="A153" s="23" t="s">
        <v>296</v>
      </c>
      <c r="B153" s="178" t="s">
        <v>298</v>
      </c>
      <c r="C153" s="26">
        <f t="shared" ref="C153:D153" si="135">C154</f>
        <v>15267900</v>
      </c>
      <c r="D153" s="7">
        <f t="shared" si="135"/>
        <v>15267900</v>
      </c>
      <c r="E153" s="104">
        <v>15267900</v>
      </c>
      <c r="F153" s="49">
        <f t="shared" ref="F153:F204" si="136">E153/D153*100</f>
        <v>100</v>
      </c>
      <c r="G153" s="119">
        <f>G154</f>
        <v>15072600</v>
      </c>
      <c r="H153" s="104">
        <f>H154</f>
        <v>15072600</v>
      </c>
      <c r="I153" s="104">
        <f>I154</f>
        <v>15072600</v>
      </c>
      <c r="J153" s="104">
        <f>J154</f>
        <v>15072600</v>
      </c>
      <c r="K153" s="51">
        <f t="shared" si="111"/>
        <v>1</v>
      </c>
      <c r="L153" s="40">
        <f t="shared" si="133"/>
        <v>0</v>
      </c>
      <c r="M153" s="31">
        <f t="shared" si="133"/>
        <v>0</v>
      </c>
      <c r="N153" s="79">
        <f t="shared" si="133"/>
        <v>0</v>
      </c>
      <c r="O153" s="157">
        <f t="shared" si="105"/>
        <v>0</v>
      </c>
      <c r="P153" s="166">
        <f t="shared" si="106"/>
        <v>0</v>
      </c>
    </row>
    <row r="154" spans="1:16" ht="67.5" x14ac:dyDescent="0.2">
      <c r="A154" s="23" t="s">
        <v>297</v>
      </c>
      <c r="B154" s="178" t="s">
        <v>299</v>
      </c>
      <c r="C154" s="26">
        <v>15267900</v>
      </c>
      <c r="D154" s="7">
        <v>15267900</v>
      </c>
      <c r="E154" s="104">
        <v>15267900</v>
      </c>
      <c r="F154" s="49">
        <f t="shared" si="136"/>
        <v>100</v>
      </c>
      <c r="G154" s="119">
        <f>0+15072600</f>
        <v>15072600</v>
      </c>
      <c r="H154" s="104">
        <v>15072600</v>
      </c>
      <c r="I154" s="104">
        <v>15072600</v>
      </c>
      <c r="J154" s="104">
        <v>15072600</v>
      </c>
      <c r="K154" s="51">
        <f t="shared" si="111"/>
        <v>1</v>
      </c>
      <c r="L154" s="40">
        <v>0</v>
      </c>
      <c r="M154" s="31">
        <v>0</v>
      </c>
      <c r="N154" s="79">
        <v>0</v>
      </c>
      <c r="O154" s="157">
        <f t="shared" si="105"/>
        <v>0</v>
      </c>
      <c r="P154" s="166">
        <f t="shared" si="106"/>
        <v>0</v>
      </c>
    </row>
    <row r="155" spans="1:16" ht="90" x14ac:dyDescent="0.2">
      <c r="A155" s="24" t="s">
        <v>286</v>
      </c>
      <c r="B155" s="176" t="s">
        <v>259</v>
      </c>
      <c r="C155" s="26">
        <f t="shared" ref="C155:D155" si="137">C156</f>
        <v>0</v>
      </c>
      <c r="D155" s="7">
        <f t="shared" si="137"/>
        <v>43715297</v>
      </c>
      <c r="E155" s="104">
        <v>23770599</v>
      </c>
      <c r="F155" s="49">
        <f t="shared" si="136"/>
        <v>54.375929322863804</v>
      </c>
      <c r="G155" s="46">
        <f>G156</f>
        <v>275942295</v>
      </c>
      <c r="H155" s="104">
        <f>H156</f>
        <v>206700222</v>
      </c>
      <c r="I155" s="104">
        <f>I156</f>
        <v>194452282</v>
      </c>
      <c r="J155" s="104">
        <f>J156</f>
        <v>206700222</v>
      </c>
      <c r="K155" s="51">
        <f t="shared" si="111"/>
        <v>1</v>
      </c>
      <c r="L155" s="40">
        <f>L156</f>
        <v>103510870</v>
      </c>
      <c r="M155" s="31">
        <f>M156</f>
        <v>82654570</v>
      </c>
      <c r="N155" s="85">
        <f>N156</f>
        <v>0</v>
      </c>
      <c r="O155" s="157">
        <f t="shared" si="105"/>
        <v>4.354575583055353</v>
      </c>
      <c r="P155" s="166">
        <f t="shared" si="106"/>
        <v>0.50077773985167762</v>
      </c>
    </row>
    <row r="156" spans="1:16" ht="90" x14ac:dyDescent="0.2">
      <c r="A156" s="24" t="s">
        <v>263</v>
      </c>
      <c r="B156" s="176" t="s">
        <v>260</v>
      </c>
      <c r="C156" s="26">
        <v>0</v>
      </c>
      <c r="D156" s="7">
        <f>0+31651529+12063768</f>
        <v>43715297</v>
      </c>
      <c r="E156" s="104">
        <v>23770599</v>
      </c>
      <c r="F156" s="49">
        <f t="shared" si="136"/>
        <v>54.375929322863804</v>
      </c>
      <c r="G156" s="46">
        <f>235026393+40915902</f>
        <v>275942295</v>
      </c>
      <c r="H156" s="104">
        <v>206700222</v>
      </c>
      <c r="I156" s="104">
        <v>194452282</v>
      </c>
      <c r="J156" s="104">
        <v>206700222</v>
      </c>
      <c r="K156" s="51">
        <f t="shared" si="111"/>
        <v>1</v>
      </c>
      <c r="L156" s="40">
        <v>103510870</v>
      </c>
      <c r="M156" s="31">
        <v>82654570</v>
      </c>
      <c r="N156" s="85">
        <v>0</v>
      </c>
      <c r="O156" s="157">
        <f t="shared" si="105"/>
        <v>4.354575583055353</v>
      </c>
      <c r="P156" s="166">
        <f t="shared" si="106"/>
        <v>0.50077773985167762</v>
      </c>
    </row>
    <row r="157" spans="1:16" ht="67.5" x14ac:dyDescent="0.2">
      <c r="A157" s="24" t="s">
        <v>264</v>
      </c>
      <c r="B157" s="176" t="s">
        <v>265</v>
      </c>
      <c r="C157" s="26">
        <f t="shared" ref="C157:D157" si="138">C158</f>
        <v>1108247</v>
      </c>
      <c r="D157" s="7">
        <f t="shared" si="138"/>
        <v>1803253</v>
      </c>
      <c r="E157" s="104">
        <v>980534</v>
      </c>
      <c r="F157" s="49">
        <f t="shared" si="136"/>
        <v>54.37584188131116</v>
      </c>
      <c r="G157" s="46">
        <f>G158</f>
        <v>11737894</v>
      </c>
      <c r="H157" s="104">
        <f>H158</f>
        <v>8526385</v>
      </c>
      <c r="I157" s="104">
        <f>I158</f>
        <v>8021084</v>
      </c>
      <c r="J157" s="104">
        <f>J158</f>
        <v>8526385</v>
      </c>
      <c r="K157" s="51">
        <f t="shared" si="111"/>
        <v>1</v>
      </c>
      <c r="L157" s="40">
        <f>L158</f>
        <v>36521900</v>
      </c>
      <c r="M157" s="31">
        <f>M158</f>
        <v>29211200</v>
      </c>
      <c r="N157" s="85">
        <f>N158</f>
        <v>0</v>
      </c>
      <c r="O157" s="157">
        <f t="shared" si="105"/>
        <v>37.246949111402564</v>
      </c>
      <c r="P157" s="166">
        <f t="shared" si="106"/>
        <v>4.2833979464919771</v>
      </c>
    </row>
    <row r="158" spans="1:16" ht="67.5" x14ac:dyDescent="0.2">
      <c r="A158" s="24" t="s">
        <v>267</v>
      </c>
      <c r="B158" s="176" t="s">
        <v>266</v>
      </c>
      <c r="C158" s="26">
        <v>1108247</v>
      </c>
      <c r="D158" s="7">
        <f>1108247+199247+495759</f>
        <v>1803253</v>
      </c>
      <c r="E158" s="104">
        <v>980534</v>
      </c>
      <c r="F158" s="49">
        <f t="shared" si="136"/>
        <v>54.37584188131116</v>
      </c>
      <c r="G158" s="46">
        <f>9935795+1802099</f>
        <v>11737894</v>
      </c>
      <c r="H158" s="104">
        <v>8526385</v>
      </c>
      <c r="I158" s="104">
        <v>8021084</v>
      </c>
      <c r="J158" s="104">
        <v>8526385</v>
      </c>
      <c r="K158" s="51">
        <f t="shared" si="111"/>
        <v>1</v>
      </c>
      <c r="L158" s="40">
        <v>36521900</v>
      </c>
      <c r="M158" s="31">
        <v>29211200</v>
      </c>
      <c r="N158" s="85">
        <v>0</v>
      </c>
      <c r="O158" s="157">
        <f t="shared" si="105"/>
        <v>37.246949111402564</v>
      </c>
      <c r="P158" s="166">
        <f t="shared" si="106"/>
        <v>4.2833979464919771</v>
      </c>
    </row>
    <row r="159" spans="1:16" ht="33.75" x14ac:dyDescent="0.2">
      <c r="A159" s="24" t="s">
        <v>268</v>
      </c>
      <c r="B159" s="176" t="s">
        <v>270</v>
      </c>
      <c r="C159" s="26">
        <f t="shared" ref="C159:D159" si="139">C160</f>
        <v>178200</v>
      </c>
      <c r="D159" s="7">
        <f t="shared" si="139"/>
        <v>178200</v>
      </c>
      <c r="E159" s="104">
        <v>159787.54</v>
      </c>
      <c r="F159" s="49">
        <f t="shared" si="136"/>
        <v>89.667530864197531</v>
      </c>
      <c r="G159" s="113">
        <f>G160</f>
        <v>0</v>
      </c>
      <c r="H159" s="7">
        <f t="shared" ref="H159:J159" si="140">H160</f>
        <v>0</v>
      </c>
      <c r="I159" s="7">
        <f t="shared" si="140"/>
        <v>0</v>
      </c>
      <c r="J159" s="7">
        <f t="shared" si="140"/>
        <v>0</v>
      </c>
      <c r="K159" s="51"/>
      <c r="L159" s="112">
        <f>L160</f>
        <v>0</v>
      </c>
      <c r="M159" s="7">
        <f t="shared" ref="M159" si="141">M160</f>
        <v>0</v>
      </c>
      <c r="N159" s="114">
        <f t="shared" ref="N159" si="142">N160</f>
        <v>0</v>
      </c>
      <c r="O159" s="157">
        <f t="shared" si="105"/>
        <v>0</v>
      </c>
      <c r="P159" s="166"/>
    </row>
    <row r="160" spans="1:16" ht="33.75" x14ac:dyDescent="0.2">
      <c r="A160" s="24" t="s">
        <v>269</v>
      </c>
      <c r="B160" s="176" t="s">
        <v>271</v>
      </c>
      <c r="C160" s="26">
        <v>178200</v>
      </c>
      <c r="D160" s="7">
        <v>178200</v>
      </c>
      <c r="E160" s="104">
        <v>159787.54</v>
      </c>
      <c r="F160" s="49">
        <f t="shared" si="136"/>
        <v>89.667530864197531</v>
      </c>
      <c r="G160" s="116">
        <v>0</v>
      </c>
      <c r="H160" s="33">
        <v>0</v>
      </c>
      <c r="I160" s="33">
        <v>0</v>
      </c>
      <c r="J160" s="33">
        <v>0</v>
      </c>
      <c r="K160" s="51"/>
      <c r="L160" s="26">
        <v>0</v>
      </c>
      <c r="M160" s="33">
        <v>0</v>
      </c>
      <c r="N160" s="81">
        <v>0</v>
      </c>
      <c r="O160" s="157">
        <f t="shared" si="105"/>
        <v>0</v>
      </c>
      <c r="P160" s="166"/>
    </row>
    <row r="161" spans="1:16" ht="33.75" x14ac:dyDescent="0.2">
      <c r="A161" s="24" t="s">
        <v>181</v>
      </c>
      <c r="B161" s="176" t="s">
        <v>179</v>
      </c>
      <c r="C161" s="26">
        <f t="shared" ref="C161:D161" si="143">C162</f>
        <v>441500</v>
      </c>
      <c r="D161" s="7">
        <f t="shared" si="143"/>
        <v>441500</v>
      </c>
      <c r="E161" s="104">
        <v>265265.28999999998</v>
      </c>
      <c r="F161" s="49">
        <f t="shared" si="136"/>
        <v>60.082738391845979</v>
      </c>
      <c r="G161" s="113">
        <f>G162</f>
        <v>0</v>
      </c>
      <c r="H161" s="7">
        <f t="shared" ref="H161:J161" si="144">H162</f>
        <v>0</v>
      </c>
      <c r="I161" s="7">
        <f t="shared" si="144"/>
        <v>0</v>
      </c>
      <c r="J161" s="7">
        <f t="shared" si="144"/>
        <v>0</v>
      </c>
      <c r="K161" s="51"/>
      <c r="L161" s="112">
        <f>L162</f>
        <v>0</v>
      </c>
      <c r="M161" s="7">
        <f t="shared" ref="M161" si="145">M162</f>
        <v>0</v>
      </c>
      <c r="N161" s="114">
        <f t="shared" ref="N161" si="146">N162</f>
        <v>0</v>
      </c>
      <c r="O161" s="157">
        <f t="shared" si="105"/>
        <v>0</v>
      </c>
      <c r="P161" s="166"/>
    </row>
    <row r="162" spans="1:16" ht="45" x14ac:dyDescent="0.2">
      <c r="A162" s="24" t="s">
        <v>182</v>
      </c>
      <c r="B162" s="176" t="s">
        <v>180</v>
      </c>
      <c r="C162" s="26">
        <v>441500</v>
      </c>
      <c r="D162" s="7">
        <v>441500</v>
      </c>
      <c r="E162" s="104">
        <v>265265.28999999998</v>
      </c>
      <c r="F162" s="49">
        <f t="shared" si="136"/>
        <v>60.082738391845979</v>
      </c>
      <c r="G162" s="116">
        <v>0</v>
      </c>
      <c r="H162" s="33">
        <v>0</v>
      </c>
      <c r="I162" s="33">
        <v>0</v>
      </c>
      <c r="J162" s="33">
        <v>0</v>
      </c>
      <c r="K162" s="51"/>
      <c r="L162" s="26">
        <v>0</v>
      </c>
      <c r="M162" s="33">
        <v>0</v>
      </c>
      <c r="N162" s="81">
        <v>0</v>
      </c>
      <c r="O162" s="157">
        <f t="shared" si="105"/>
        <v>0</v>
      </c>
      <c r="P162" s="166"/>
    </row>
    <row r="163" spans="1:16" ht="33.75" x14ac:dyDescent="0.2">
      <c r="A163" s="24" t="s">
        <v>288</v>
      </c>
      <c r="B163" s="176" t="s">
        <v>289</v>
      </c>
      <c r="C163" s="26">
        <f t="shared" ref="C163:D163" si="147">C164</f>
        <v>3233180</v>
      </c>
      <c r="D163" s="7">
        <f t="shared" si="147"/>
        <v>3233180</v>
      </c>
      <c r="E163" s="104">
        <v>3233180</v>
      </c>
      <c r="F163" s="49">
        <f t="shared" si="136"/>
        <v>100</v>
      </c>
      <c r="G163" s="113">
        <f>G164</f>
        <v>0</v>
      </c>
      <c r="H163" s="7">
        <f t="shared" ref="H163:J163" si="148">H164</f>
        <v>0</v>
      </c>
      <c r="I163" s="7">
        <f t="shared" si="148"/>
        <v>0</v>
      </c>
      <c r="J163" s="7">
        <f t="shared" si="148"/>
        <v>0</v>
      </c>
      <c r="K163" s="51"/>
      <c r="L163" s="112">
        <f>L164</f>
        <v>0</v>
      </c>
      <c r="M163" s="7">
        <f t="shared" ref="M163" si="149">M164</f>
        <v>0</v>
      </c>
      <c r="N163" s="114">
        <f t="shared" ref="N163" si="150">N164</f>
        <v>0</v>
      </c>
      <c r="O163" s="157">
        <f t="shared" si="105"/>
        <v>0</v>
      </c>
      <c r="P163" s="166"/>
    </row>
    <row r="164" spans="1:16" ht="33.75" x14ac:dyDescent="0.2">
      <c r="A164" s="24" t="s">
        <v>291</v>
      </c>
      <c r="B164" s="176" t="s">
        <v>290</v>
      </c>
      <c r="C164" s="26">
        <v>3233180</v>
      </c>
      <c r="D164" s="7">
        <v>3233180</v>
      </c>
      <c r="E164" s="104">
        <v>3233180</v>
      </c>
      <c r="F164" s="49">
        <f t="shared" si="136"/>
        <v>100</v>
      </c>
      <c r="G164" s="116">
        <v>0</v>
      </c>
      <c r="H164" s="33">
        <v>0</v>
      </c>
      <c r="I164" s="33">
        <v>0</v>
      </c>
      <c r="J164" s="33">
        <v>0</v>
      </c>
      <c r="K164" s="51"/>
      <c r="L164" s="26">
        <v>0</v>
      </c>
      <c r="M164" s="33">
        <v>0</v>
      </c>
      <c r="N164" s="81">
        <v>0</v>
      </c>
      <c r="O164" s="157">
        <f t="shared" si="105"/>
        <v>0</v>
      </c>
      <c r="P164" s="166"/>
    </row>
    <row r="165" spans="1:16" ht="45" x14ac:dyDescent="0.2">
      <c r="A165" s="24" t="s">
        <v>314</v>
      </c>
      <c r="B165" s="176" t="s">
        <v>313</v>
      </c>
      <c r="C165" s="112">
        <f t="shared" ref="C165" si="151">SUM(C166)</f>
        <v>0</v>
      </c>
      <c r="D165" s="7">
        <f>SUM(D166)</f>
        <v>8561700</v>
      </c>
      <c r="E165" s="104">
        <v>8005397.6500000004</v>
      </c>
      <c r="F165" s="49">
        <f t="shared" si="136"/>
        <v>93.502431176051488</v>
      </c>
      <c r="G165" s="46">
        <f>G166</f>
        <v>23368700</v>
      </c>
      <c r="H165" s="104">
        <f>H166</f>
        <v>23368700</v>
      </c>
      <c r="I165" s="104">
        <f>I166</f>
        <v>13466963.99</v>
      </c>
      <c r="J165" s="104">
        <f>J166</f>
        <v>23368700</v>
      </c>
      <c r="K165" s="51">
        <f t="shared" si="111"/>
        <v>1</v>
      </c>
      <c r="L165" s="40">
        <f>L166</f>
        <v>20787400</v>
      </c>
      <c r="M165" s="31">
        <f t="shared" ref="M165:N165" si="152">M166</f>
        <v>20606000</v>
      </c>
      <c r="N165" s="79">
        <f t="shared" si="152"/>
        <v>21236000</v>
      </c>
      <c r="O165" s="157">
        <f t="shared" si="105"/>
        <v>2.596673008491964</v>
      </c>
      <c r="P165" s="166">
        <f t="shared" si="106"/>
        <v>0.88954028251464567</v>
      </c>
    </row>
    <row r="166" spans="1:16" ht="36.75" customHeight="1" x14ac:dyDescent="0.2">
      <c r="A166" s="24" t="s">
        <v>312</v>
      </c>
      <c r="B166" s="176" t="s">
        <v>311</v>
      </c>
      <c r="C166" s="26">
        <v>0</v>
      </c>
      <c r="D166" s="7">
        <f>0+2140425+6421275</f>
        <v>8561700</v>
      </c>
      <c r="E166" s="104">
        <v>8005397.6500000004</v>
      </c>
      <c r="F166" s="49">
        <f t="shared" si="136"/>
        <v>93.502431176051488</v>
      </c>
      <c r="G166" s="46">
        <f>5874700+17494000</f>
        <v>23368700</v>
      </c>
      <c r="H166" s="104">
        <v>23368700</v>
      </c>
      <c r="I166" s="104">
        <v>13466963.99</v>
      </c>
      <c r="J166" s="104">
        <v>23368700</v>
      </c>
      <c r="K166" s="51">
        <f t="shared" si="111"/>
        <v>1</v>
      </c>
      <c r="L166" s="40">
        <v>20787400</v>
      </c>
      <c r="M166" s="31">
        <v>20606000</v>
      </c>
      <c r="N166" s="85">
        <v>21236000</v>
      </c>
      <c r="O166" s="157">
        <f t="shared" si="105"/>
        <v>2.596673008491964</v>
      </c>
      <c r="P166" s="166">
        <f t="shared" si="106"/>
        <v>0.88954028251464567</v>
      </c>
    </row>
    <row r="167" spans="1:16" ht="22.5" x14ac:dyDescent="0.2">
      <c r="A167" s="24" t="s">
        <v>170</v>
      </c>
      <c r="B167" s="176" t="s">
        <v>177</v>
      </c>
      <c r="C167" s="26">
        <f t="shared" ref="C167:D167" si="153">C168</f>
        <v>3802700</v>
      </c>
      <c r="D167" s="7">
        <f t="shared" si="153"/>
        <v>3802700</v>
      </c>
      <c r="E167" s="104">
        <v>3802700</v>
      </c>
      <c r="F167" s="49">
        <f t="shared" si="136"/>
        <v>100</v>
      </c>
      <c r="G167" s="46">
        <f>G168</f>
        <v>5505000</v>
      </c>
      <c r="H167" s="104">
        <f>H168</f>
        <v>5505000</v>
      </c>
      <c r="I167" s="104">
        <f>I168</f>
        <v>5505000</v>
      </c>
      <c r="J167" s="104">
        <f>J168</f>
        <v>5505000</v>
      </c>
      <c r="K167" s="51">
        <f t="shared" si="111"/>
        <v>1</v>
      </c>
      <c r="L167" s="40">
        <f>L168</f>
        <v>6112000</v>
      </c>
      <c r="M167" s="31">
        <f t="shared" ref="M167:N167" si="154">M168</f>
        <v>6833800</v>
      </c>
      <c r="N167" s="79">
        <f t="shared" si="154"/>
        <v>6811600</v>
      </c>
      <c r="O167" s="157">
        <f t="shared" si="105"/>
        <v>1.6072790385778526</v>
      </c>
      <c r="P167" s="166">
        <f t="shared" si="106"/>
        <v>1.1102633969118982</v>
      </c>
    </row>
    <row r="168" spans="1:16" ht="22.5" x14ac:dyDescent="0.2">
      <c r="A168" s="24" t="s">
        <v>171</v>
      </c>
      <c r="B168" s="176" t="s">
        <v>178</v>
      </c>
      <c r="C168" s="26">
        <v>3802700</v>
      </c>
      <c r="D168" s="7">
        <v>3802700</v>
      </c>
      <c r="E168" s="104">
        <v>3802700</v>
      </c>
      <c r="F168" s="49">
        <f t="shared" si="136"/>
        <v>100</v>
      </c>
      <c r="G168" s="46">
        <f>0+5505000</f>
        <v>5505000</v>
      </c>
      <c r="H168" s="104">
        <v>5505000</v>
      </c>
      <c r="I168" s="104">
        <v>5505000</v>
      </c>
      <c r="J168" s="104">
        <v>5505000</v>
      </c>
      <c r="K168" s="51">
        <f t="shared" si="111"/>
        <v>1</v>
      </c>
      <c r="L168" s="40">
        <v>6112000</v>
      </c>
      <c r="M168" s="31">
        <v>6833800</v>
      </c>
      <c r="N168" s="85">
        <v>6811600</v>
      </c>
      <c r="O168" s="157">
        <f t="shared" si="105"/>
        <v>1.6072790385778526</v>
      </c>
      <c r="P168" s="166">
        <f t="shared" si="106"/>
        <v>1.1102633969118982</v>
      </c>
    </row>
    <row r="169" spans="1:16" ht="22.5" x14ac:dyDescent="0.2">
      <c r="A169" s="24" t="s">
        <v>448</v>
      </c>
      <c r="B169" s="176" t="s">
        <v>450</v>
      </c>
      <c r="C169" s="112">
        <f t="shared" ref="C169:E169" si="155">C170</f>
        <v>0</v>
      </c>
      <c r="D169" s="7">
        <f t="shared" si="155"/>
        <v>0</v>
      </c>
      <c r="E169" s="7">
        <f t="shared" si="155"/>
        <v>0</v>
      </c>
      <c r="F169" s="49"/>
      <c r="G169" s="113">
        <f>G170</f>
        <v>0</v>
      </c>
      <c r="H169" s="7">
        <f t="shared" ref="H169:J169" si="156">H170</f>
        <v>0</v>
      </c>
      <c r="I169" s="7">
        <f t="shared" si="156"/>
        <v>0</v>
      </c>
      <c r="J169" s="7">
        <f t="shared" si="156"/>
        <v>0</v>
      </c>
      <c r="K169" s="51"/>
      <c r="L169" s="40">
        <f>L170</f>
        <v>86200</v>
      </c>
      <c r="M169" s="31">
        <f t="shared" ref="M169:N169" si="157">M170</f>
        <v>128700</v>
      </c>
      <c r="N169" s="79">
        <f t="shared" si="157"/>
        <v>271500</v>
      </c>
      <c r="O169" s="157"/>
      <c r="P169" s="166"/>
    </row>
    <row r="170" spans="1:16" ht="22.5" x14ac:dyDescent="0.2">
      <c r="A170" s="24" t="s">
        <v>449</v>
      </c>
      <c r="B170" s="176" t="s">
        <v>451</v>
      </c>
      <c r="C170" s="26">
        <v>0</v>
      </c>
      <c r="D170" s="33">
        <v>0</v>
      </c>
      <c r="E170" s="33">
        <v>0</v>
      </c>
      <c r="F170" s="49"/>
      <c r="G170" s="116">
        <v>0</v>
      </c>
      <c r="H170" s="33">
        <v>0</v>
      </c>
      <c r="I170" s="33">
        <v>0</v>
      </c>
      <c r="J170" s="33">
        <v>0</v>
      </c>
      <c r="K170" s="51"/>
      <c r="L170" s="40">
        <v>86200</v>
      </c>
      <c r="M170" s="31">
        <v>128700</v>
      </c>
      <c r="N170" s="85">
        <v>271500</v>
      </c>
      <c r="O170" s="157"/>
      <c r="P170" s="166"/>
    </row>
    <row r="171" spans="1:16" x14ac:dyDescent="0.2">
      <c r="A171" s="23" t="s">
        <v>300</v>
      </c>
      <c r="B171" s="176" t="s">
        <v>302</v>
      </c>
      <c r="C171" s="26">
        <f t="shared" ref="C171:D171" si="158">C172</f>
        <v>103800</v>
      </c>
      <c r="D171" s="7">
        <f t="shared" si="158"/>
        <v>5959575</v>
      </c>
      <c r="E171" s="104">
        <v>5959575</v>
      </c>
      <c r="F171" s="49">
        <f t="shared" si="136"/>
        <v>100</v>
      </c>
      <c r="G171" s="113">
        <f>G172</f>
        <v>0</v>
      </c>
      <c r="H171" s="104">
        <f>H172</f>
        <v>550000</v>
      </c>
      <c r="I171" s="104">
        <f>I172</f>
        <v>0</v>
      </c>
      <c r="J171" s="104">
        <f>J172</f>
        <v>0</v>
      </c>
      <c r="K171" s="51">
        <f t="shared" si="111"/>
        <v>0</v>
      </c>
      <c r="L171" s="120">
        <f t="shared" ref="L171:N171" si="159">L172</f>
        <v>0</v>
      </c>
      <c r="M171" s="104">
        <f t="shared" si="159"/>
        <v>0</v>
      </c>
      <c r="N171" s="115">
        <f t="shared" si="159"/>
        <v>0</v>
      </c>
      <c r="O171" s="157">
        <f t="shared" si="105"/>
        <v>0</v>
      </c>
      <c r="P171" s="166"/>
    </row>
    <row r="172" spans="1:16" ht="22.5" x14ac:dyDescent="0.2">
      <c r="A172" s="23" t="s">
        <v>301</v>
      </c>
      <c r="B172" s="176" t="s">
        <v>303</v>
      </c>
      <c r="C172" s="26">
        <v>103800</v>
      </c>
      <c r="D172" s="7">
        <f>103800+5855775</f>
        <v>5959575</v>
      </c>
      <c r="E172" s="104">
        <v>5959575</v>
      </c>
      <c r="F172" s="49">
        <f t="shared" si="136"/>
        <v>100</v>
      </c>
      <c r="G172" s="116">
        <v>0</v>
      </c>
      <c r="H172" s="104">
        <v>550000</v>
      </c>
      <c r="I172" s="104">
        <v>0</v>
      </c>
      <c r="J172" s="104">
        <v>0</v>
      </c>
      <c r="K172" s="51">
        <f t="shared" si="111"/>
        <v>0</v>
      </c>
      <c r="L172" s="120">
        <v>0</v>
      </c>
      <c r="M172" s="104">
        <v>0</v>
      </c>
      <c r="N172" s="115">
        <v>0</v>
      </c>
      <c r="O172" s="157">
        <f t="shared" si="105"/>
        <v>0</v>
      </c>
      <c r="P172" s="166"/>
    </row>
    <row r="173" spans="1:16" ht="22.5" x14ac:dyDescent="0.2">
      <c r="A173" s="24" t="s">
        <v>274</v>
      </c>
      <c r="B173" s="176" t="s">
        <v>272</v>
      </c>
      <c r="C173" s="26">
        <f t="shared" ref="C173:D173" si="160">C174</f>
        <v>50000000</v>
      </c>
      <c r="D173" s="7">
        <f t="shared" si="160"/>
        <v>48599800</v>
      </c>
      <c r="E173" s="104">
        <v>48599729.689999998</v>
      </c>
      <c r="F173" s="49">
        <f t="shared" si="136"/>
        <v>99.999855328622743</v>
      </c>
      <c r="G173" s="46">
        <f>G174</f>
        <v>14386700</v>
      </c>
      <c r="H173" s="104">
        <f>H174</f>
        <v>14386700</v>
      </c>
      <c r="I173" s="104">
        <f>I174</f>
        <v>14386700</v>
      </c>
      <c r="J173" s="104">
        <f>J174</f>
        <v>14386700</v>
      </c>
      <c r="K173" s="51">
        <f t="shared" si="111"/>
        <v>1</v>
      </c>
      <c r="L173" s="40">
        <f>L174</f>
        <v>14974700</v>
      </c>
      <c r="M173" s="31">
        <f>M174</f>
        <v>14609000</v>
      </c>
      <c r="N173" s="85">
        <f>N174</f>
        <v>16232200</v>
      </c>
      <c r="O173" s="157">
        <f t="shared" si="105"/>
        <v>0.30812311293742095</v>
      </c>
      <c r="P173" s="166">
        <f t="shared" si="106"/>
        <v>1.0408710823190863</v>
      </c>
    </row>
    <row r="174" spans="1:16" ht="22.5" x14ac:dyDescent="0.2">
      <c r="A174" s="24" t="s">
        <v>275</v>
      </c>
      <c r="B174" s="176" t="s">
        <v>273</v>
      </c>
      <c r="C174" s="26">
        <v>50000000</v>
      </c>
      <c r="D174" s="7">
        <f>50000000-1400200</f>
        <v>48599800</v>
      </c>
      <c r="E174" s="104">
        <v>48599729.689999998</v>
      </c>
      <c r="F174" s="49">
        <f t="shared" si="136"/>
        <v>99.999855328622743</v>
      </c>
      <c r="G174" s="46">
        <f>18266000-3879300</f>
        <v>14386700</v>
      </c>
      <c r="H174" s="104">
        <v>14386700</v>
      </c>
      <c r="I174" s="104">
        <v>14386700</v>
      </c>
      <c r="J174" s="104">
        <v>14386700</v>
      </c>
      <c r="K174" s="51">
        <f t="shared" si="111"/>
        <v>1</v>
      </c>
      <c r="L174" s="40">
        <v>14974700</v>
      </c>
      <c r="M174" s="31">
        <v>14609000</v>
      </c>
      <c r="N174" s="85">
        <v>16232200</v>
      </c>
      <c r="O174" s="157">
        <f t="shared" si="105"/>
        <v>0.30812311293742095</v>
      </c>
      <c r="P174" s="166">
        <f t="shared" si="106"/>
        <v>1.0408710823190863</v>
      </c>
    </row>
    <row r="175" spans="1:16" ht="22.5" x14ac:dyDescent="0.2">
      <c r="A175" s="24" t="s">
        <v>420</v>
      </c>
      <c r="B175" s="176" t="s">
        <v>423</v>
      </c>
      <c r="C175" s="40">
        <f t="shared" ref="C175:E175" si="161">C176</f>
        <v>0</v>
      </c>
      <c r="D175" s="31">
        <f t="shared" si="161"/>
        <v>0</v>
      </c>
      <c r="E175" s="31">
        <f t="shared" si="161"/>
        <v>0</v>
      </c>
      <c r="F175" s="49"/>
      <c r="G175" s="46">
        <f t="shared" ref="G175:J175" si="162">G176</f>
        <v>0</v>
      </c>
      <c r="H175" s="31">
        <f t="shared" si="162"/>
        <v>0</v>
      </c>
      <c r="I175" s="31">
        <f t="shared" si="162"/>
        <v>0</v>
      </c>
      <c r="J175" s="31">
        <f t="shared" si="162"/>
        <v>0</v>
      </c>
      <c r="K175" s="51"/>
      <c r="L175" s="40">
        <f>L176</f>
        <v>0</v>
      </c>
      <c r="M175" s="31">
        <f>M176</f>
        <v>0</v>
      </c>
      <c r="N175" s="79">
        <f>N176</f>
        <v>1070400</v>
      </c>
      <c r="O175" s="157"/>
      <c r="P175" s="166"/>
    </row>
    <row r="176" spans="1:16" ht="22.5" x14ac:dyDescent="0.2">
      <c r="A176" s="24" t="s">
        <v>421</v>
      </c>
      <c r="B176" s="176" t="s">
        <v>422</v>
      </c>
      <c r="C176" s="40">
        <v>0</v>
      </c>
      <c r="D176" s="31">
        <v>0</v>
      </c>
      <c r="E176" s="31">
        <v>0</v>
      </c>
      <c r="F176" s="49"/>
      <c r="G176" s="46">
        <v>0</v>
      </c>
      <c r="H176" s="31">
        <v>0</v>
      </c>
      <c r="I176" s="31">
        <v>0</v>
      </c>
      <c r="J176" s="31">
        <v>0</v>
      </c>
      <c r="K176" s="51"/>
      <c r="L176" s="40">
        <v>0</v>
      </c>
      <c r="M176" s="31">
        <v>0</v>
      </c>
      <c r="N176" s="85">
        <v>1070400</v>
      </c>
      <c r="O176" s="157"/>
      <c r="P176" s="166"/>
    </row>
    <row r="177" spans="1:16" x14ac:dyDescent="0.2">
      <c r="A177" s="24" t="s">
        <v>136</v>
      </c>
      <c r="B177" s="176" t="s">
        <v>186</v>
      </c>
      <c r="C177" s="26">
        <f>C178</f>
        <v>29137600</v>
      </c>
      <c r="D177" s="7">
        <f>D178</f>
        <v>11037348</v>
      </c>
      <c r="E177" s="104">
        <v>9943480.1099999994</v>
      </c>
      <c r="F177" s="49">
        <f t="shared" si="136"/>
        <v>90.089395659174642</v>
      </c>
      <c r="G177" s="46">
        <f>G178</f>
        <v>13095300</v>
      </c>
      <c r="H177" s="104">
        <f>H178</f>
        <v>26421700</v>
      </c>
      <c r="I177" s="104">
        <f>I178</f>
        <v>24798573.030000001</v>
      </c>
      <c r="J177" s="104">
        <f>J178</f>
        <v>26876500</v>
      </c>
      <c r="K177" s="51">
        <f t="shared" si="111"/>
        <v>1.0172131240609046</v>
      </c>
      <c r="L177" s="40">
        <f>L178</f>
        <v>20459200</v>
      </c>
      <c r="M177" s="31">
        <f>M178</f>
        <v>34193300</v>
      </c>
      <c r="N177" s="85">
        <f>N178</f>
        <v>38193300</v>
      </c>
      <c r="O177" s="157">
        <f t="shared" si="105"/>
        <v>2.0575492457036755</v>
      </c>
      <c r="P177" s="166">
        <f t="shared" si="106"/>
        <v>0.7612300708797648</v>
      </c>
    </row>
    <row r="178" spans="1:16" x14ac:dyDescent="0.2">
      <c r="A178" s="24" t="s">
        <v>137</v>
      </c>
      <c r="B178" s="176" t="s">
        <v>185</v>
      </c>
      <c r="C178" s="26">
        <v>29137600</v>
      </c>
      <c r="D178" s="7">
        <f>29137600-14800000-1933200+2719500-1500-2140425-1797900+1797900-150000-2938827+1797900-653700</f>
        <v>11037348</v>
      </c>
      <c r="E178" s="104">
        <v>9943480.1099999994</v>
      </c>
      <c r="F178" s="49">
        <f t="shared" si="136"/>
        <v>90.089395659174642</v>
      </c>
      <c r="G178" s="46">
        <f>3638500+2445500+3132000+3879300</f>
        <v>13095300</v>
      </c>
      <c r="H178" s="104">
        <v>26421700</v>
      </c>
      <c r="I178" s="104">
        <v>24798573.030000001</v>
      </c>
      <c r="J178" s="104">
        <v>26876500</v>
      </c>
      <c r="K178" s="51">
        <f t="shared" si="111"/>
        <v>1.0172131240609046</v>
      </c>
      <c r="L178" s="40">
        <v>20459200</v>
      </c>
      <c r="M178" s="31">
        <v>34193300</v>
      </c>
      <c r="N178" s="85">
        <v>38193300</v>
      </c>
      <c r="O178" s="157">
        <f t="shared" si="105"/>
        <v>2.0575492457036755</v>
      </c>
      <c r="P178" s="166">
        <f t="shared" si="106"/>
        <v>0.7612300708797648</v>
      </c>
    </row>
    <row r="179" spans="1:16" ht="22.5" x14ac:dyDescent="0.2">
      <c r="A179" s="36" t="s">
        <v>138</v>
      </c>
      <c r="B179" s="186" t="s">
        <v>189</v>
      </c>
      <c r="C179" s="112">
        <f t="shared" ref="C179:D179" si="163">C180+C182+C184+C186+C188+C192+C194</f>
        <v>412083000</v>
      </c>
      <c r="D179" s="7">
        <f t="shared" si="163"/>
        <v>387593800</v>
      </c>
      <c r="E179" s="104">
        <v>383418709.47000003</v>
      </c>
      <c r="F179" s="49">
        <f t="shared" si="136"/>
        <v>98.922818030112978</v>
      </c>
      <c r="G179" s="45">
        <f>G180+G182+G184+G186+G188+G190+G192+G194</f>
        <v>417267900</v>
      </c>
      <c r="H179" s="8">
        <f t="shared" ref="H179:I179" si="164">H180+H182+H184+H186+H188+H190+H192+H194</f>
        <v>400251700</v>
      </c>
      <c r="I179" s="8">
        <f t="shared" si="164"/>
        <v>350606252.30999994</v>
      </c>
      <c r="J179" s="45">
        <f>J180+J182+J184+J186+J188+J190+J192+J194</f>
        <v>400251700</v>
      </c>
      <c r="K179" s="51">
        <f t="shared" si="111"/>
        <v>1</v>
      </c>
      <c r="L179" s="16">
        <f>L180+L182+L184+L186+L188+L190+L192+L194</f>
        <v>450164800</v>
      </c>
      <c r="M179" s="8">
        <f t="shared" ref="M179:N179" si="165">M180+M182+M184+M186+M188+M190+M192+M194</f>
        <v>450920300</v>
      </c>
      <c r="N179" s="85">
        <f t="shared" si="165"/>
        <v>450885000</v>
      </c>
      <c r="O179" s="157">
        <f t="shared" si="105"/>
        <v>1.17408146467934</v>
      </c>
      <c r="P179" s="166">
        <f t="shared" si="106"/>
        <v>1.1247042798319158</v>
      </c>
    </row>
    <row r="180" spans="1:16" ht="22.5" x14ac:dyDescent="0.2">
      <c r="A180" s="24" t="s">
        <v>139</v>
      </c>
      <c r="B180" s="176" t="s">
        <v>188</v>
      </c>
      <c r="C180" s="26">
        <f t="shared" ref="C180:D180" si="166">C181</f>
        <v>362824200</v>
      </c>
      <c r="D180" s="7">
        <f t="shared" si="166"/>
        <v>370703700</v>
      </c>
      <c r="E180" s="104">
        <v>367343738.16000003</v>
      </c>
      <c r="F180" s="49">
        <f t="shared" si="136"/>
        <v>99.09362603070862</v>
      </c>
      <c r="G180" s="46">
        <f>G181</f>
        <v>396427500</v>
      </c>
      <c r="H180" s="104">
        <v>378696500</v>
      </c>
      <c r="I180" s="104">
        <f>I181</f>
        <v>340031558.77999997</v>
      </c>
      <c r="J180" s="104">
        <f>J181</f>
        <v>378696500</v>
      </c>
      <c r="K180" s="51">
        <f t="shared" si="111"/>
        <v>1</v>
      </c>
      <c r="L180" s="40">
        <f>L181</f>
        <v>430678500</v>
      </c>
      <c r="M180" s="31">
        <f>M181</f>
        <v>431591600</v>
      </c>
      <c r="N180" s="85">
        <f>N181</f>
        <v>431576500</v>
      </c>
      <c r="O180" s="157">
        <f t="shared" si="105"/>
        <v>1.1724127983159303</v>
      </c>
      <c r="P180" s="166">
        <f t="shared" si="106"/>
        <v>1.137265593951885</v>
      </c>
    </row>
    <row r="181" spans="1:16" ht="33.75" x14ac:dyDescent="0.2">
      <c r="A181" s="24" t="s">
        <v>140</v>
      </c>
      <c r="B181" s="176" t="s">
        <v>187</v>
      </c>
      <c r="C181" s="26">
        <v>362824200</v>
      </c>
      <c r="D181" s="7">
        <f>362824200+31372400-9195100+143800+121500-234400+1529300-15896000+38000</f>
        <v>370703700</v>
      </c>
      <c r="E181" s="104">
        <v>367343738.16000003</v>
      </c>
      <c r="F181" s="49">
        <f t="shared" si="136"/>
        <v>99.09362603070862</v>
      </c>
      <c r="G181" s="46">
        <f>359430700+35796400+343500+856900</f>
        <v>396427500</v>
      </c>
      <c r="H181" s="104">
        <v>378696500</v>
      </c>
      <c r="I181" s="104">
        <v>340031558.77999997</v>
      </c>
      <c r="J181" s="104">
        <v>378696500</v>
      </c>
      <c r="K181" s="51">
        <f t="shared" si="111"/>
        <v>1</v>
      </c>
      <c r="L181" s="40">
        <v>430678500</v>
      </c>
      <c r="M181" s="31">
        <v>431591600</v>
      </c>
      <c r="N181" s="85">
        <v>431576500</v>
      </c>
      <c r="O181" s="157">
        <f t="shared" si="105"/>
        <v>1.1724127983159303</v>
      </c>
      <c r="P181" s="166">
        <f t="shared" si="106"/>
        <v>1.137265593951885</v>
      </c>
    </row>
    <row r="182" spans="1:16" ht="56.25" x14ac:dyDescent="0.2">
      <c r="A182" s="24" t="s">
        <v>141</v>
      </c>
      <c r="B182" s="176" t="s">
        <v>191</v>
      </c>
      <c r="C182" s="26">
        <f t="shared" ref="C182:D182" si="167">C183</f>
        <v>5789900</v>
      </c>
      <c r="D182" s="7">
        <f t="shared" si="167"/>
        <v>4400300</v>
      </c>
      <c r="E182" s="104">
        <v>3663178.18</v>
      </c>
      <c r="F182" s="49">
        <f t="shared" si="136"/>
        <v>83.248373519987268</v>
      </c>
      <c r="G182" s="46">
        <f>G183</f>
        <v>5789900</v>
      </c>
      <c r="H182" s="104">
        <v>5789900</v>
      </c>
      <c r="I182" s="104">
        <f>I183</f>
        <v>3151781</v>
      </c>
      <c r="J182" s="104">
        <f>J183</f>
        <v>5789900</v>
      </c>
      <c r="K182" s="51">
        <f t="shared" si="111"/>
        <v>1</v>
      </c>
      <c r="L182" s="40">
        <f>L183</f>
        <v>5789900</v>
      </c>
      <c r="M182" s="31">
        <f>M183</f>
        <v>5789900</v>
      </c>
      <c r="N182" s="85">
        <f>N183</f>
        <v>5789900</v>
      </c>
      <c r="O182" s="157">
        <f t="shared" si="105"/>
        <v>1.5805673968062344</v>
      </c>
      <c r="P182" s="166">
        <f t="shared" si="106"/>
        <v>1</v>
      </c>
    </row>
    <row r="183" spans="1:16" ht="56.25" x14ac:dyDescent="0.2">
      <c r="A183" s="24" t="s">
        <v>142</v>
      </c>
      <c r="B183" s="176" t="s">
        <v>190</v>
      </c>
      <c r="C183" s="26">
        <v>5789900</v>
      </c>
      <c r="D183" s="7">
        <f>5789900-1389600</f>
        <v>4400300</v>
      </c>
      <c r="E183" s="104">
        <v>3663178.18</v>
      </c>
      <c r="F183" s="49">
        <f t="shared" si="136"/>
        <v>83.248373519987268</v>
      </c>
      <c r="G183" s="46">
        <v>5789900</v>
      </c>
      <c r="H183" s="104">
        <v>5789900</v>
      </c>
      <c r="I183" s="104">
        <v>3151781</v>
      </c>
      <c r="J183" s="104">
        <v>5789900</v>
      </c>
      <c r="K183" s="51">
        <f t="shared" si="111"/>
        <v>1</v>
      </c>
      <c r="L183" s="40">
        <v>5789900</v>
      </c>
      <c r="M183" s="31">
        <v>5789900</v>
      </c>
      <c r="N183" s="85">
        <v>5789900</v>
      </c>
      <c r="O183" s="157">
        <f t="shared" si="105"/>
        <v>1.5805673968062344</v>
      </c>
      <c r="P183" s="166">
        <f t="shared" si="106"/>
        <v>1</v>
      </c>
    </row>
    <row r="184" spans="1:16" ht="45" x14ac:dyDescent="0.2">
      <c r="A184" s="24" t="s">
        <v>143</v>
      </c>
      <c r="B184" s="176" t="s">
        <v>192</v>
      </c>
      <c r="C184" s="26">
        <f t="shared" ref="C184:D184" si="168">C185</f>
        <v>38034600</v>
      </c>
      <c r="D184" s="7">
        <f t="shared" si="168"/>
        <v>6662200</v>
      </c>
      <c r="E184" s="104">
        <v>6662200</v>
      </c>
      <c r="F184" s="49">
        <f t="shared" si="136"/>
        <v>100</v>
      </c>
      <c r="G184" s="46">
        <f>G185</f>
        <v>9153600</v>
      </c>
      <c r="H184" s="104">
        <v>9153600</v>
      </c>
      <c r="I184" s="104">
        <f>I185</f>
        <v>2265999.7799999998</v>
      </c>
      <c r="J184" s="104">
        <f>J185</f>
        <v>9153600</v>
      </c>
      <c r="K184" s="51">
        <f t="shared" si="111"/>
        <v>1</v>
      </c>
      <c r="L184" s="40">
        <f>L185</f>
        <v>8245700</v>
      </c>
      <c r="M184" s="31">
        <f>M185</f>
        <v>8245700</v>
      </c>
      <c r="N184" s="85">
        <f>N185</f>
        <v>8245700</v>
      </c>
      <c r="O184" s="157">
        <f t="shared" si="105"/>
        <v>1.2376842484464592</v>
      </c>
      <c r="P184" s="166">
        <f t="shared" si="106"/>
        <v>0.90081497989861914</v>
      </c>
    </row>
    <row r="185" spans="1:16" ht="45" x14ac:dyDescent="0.2">
      <c r="A185" s="24" t="s">
        <v>144</v>
      </c>
      <c r="B185" s="176" t="s">
        <v>193</v>
      </c>
      <c r="C185" s="26">
        <v>38034600</v>
      </c>
      <c r="D185" s="7">
        <f>38034600-31372400</f>
        <v>6662200</v>
      </c>
      <c r="E185" s="104">
        <v>6662200</v>
      </c>
      <c r="F185" s="49">
        <f t="shared" si="136"/>
        <v>100</v>
      </c>
      <c r="G185" s="46">
        <f>19593600-10440000</f>
        <v>9153600</v>
      </c>
      <c r="H185" s="104">
        <v>9153600</v>
      </c>
      <c r="I185" s="104">
        <v>2265999.7799999998</v>
      </c>
      <c r="J185" s="104">
        <v>9153600</v>
      </c>
      <c r="K185" s="51">
        <f t="shared" si="111"/>
        <v>1</v>
      </c>
      <c r="L185" s="40">
        <v>8245700</v>
      </c>
      <c r="M185" s="31">
        <v>8245700</v>
      </c>
      <c r="N185" s="85">
        <v>8245700</v>
      </c>
      <c r="O185" s="157">
        <f t="shared" si="105"/>
        <v>1.2376842484464592</v>
      </c>
      <c r="P185" s="166">
        <f t="shared" si="106"/>
        <v>0.90081497989861914</v>
      </c>
    </row>
    <row r="186" spans="1:16" ht="45" x14ac:dyDescent="0.2">
      <c r="A186" s="24" t="s">
        <v>158</v>
      </c>
      <c r="B186" s="176" t="s">
        <v>194</v>
      </c>
      <c r="C186" s="26">
        <f t="shared" ref="C186:D186" si="169">C187</f>
        <v>36600</v>
      </c>
      <c r="D186" s="7">
        <f t="shared" si="169"/>
        <v>36600</v>
      </c>
      <c r="E186" s="104">
        <v>0</v>
      </c>
      <c r="F186" s="49">
        <f t="shared" si="136"/>
        <v>0</v>
      </c>
      <c r="G186" s="46">
        <f>G187</f>
        <v>72500</v>
      </c>
      <c r="H186" s="104">
        <v>72500</v>
      </c>
      <c r="I186" s="104">
        <f>I187</f>
        <v>0</v>
      </c>
      <c r="J186" s="104">
        <f>J187</f>
        <v>72500</v>
      </c>
      <c r="K186" s="51">
        <f t="shared" si="111"/>
        <v>1</v>
      </c>
      <c r="L186" s="40">
        <f>L187</f>
        <v>273800</v>
      </c>
      <c r="M186" s="31">
        <f>M187</f>
        <v>20200</v>
      </c>
      <c r="N186" s="85">
        <f>N187</f>
        <v>0</v>
      </c>
      <c r="O186" s="157"/>
      <c r="P186" s="166">
        <f t="shared" si="106"/>
        <v>3.7765517241379309</v>
      </c>
    </row>
    <row r="187" spans="1:16" ht="45" x14ac:dyDescent="0.2">
      <c r="A187" s="24" t="s">
        <v>159</v>
      </c>
      <c r="B187" s="176" t="s">
        <v>195</v>
      </c>
      <c r="C187" s="26">
        <v>36600</v>
      </c>
      <c r="D187" s="7">
        <v>36600</v>
      </c>
      <c r="E187" s="104">
        <v>0</v>
      </c>
      <c r="F187" s="49">
        <f t="shared" si="136"/>
        <v>0</v>
      </c>
      <c r="G187" s="46">
        <v>72500</v>
      </c>
      <c r="H187" s="104">
        <v>72500</v>
      </c>
      <c r="I187" s="104">
        <v>0</v>
      </c>
      <c r="J187" s="104">
        <v>72500</v>
      </c>
      <c r="K187" s="51">
        <f t="shared" si="111"/>
        <v>1</v>
      </c>
      <c r="L187" s="40">
        <v>273800</v>
      </c>
      <c r="M187" s="31">
        <v>20200</v>
      </c>
      <c r="N187" s="85">
        <v>0</v>
      </c>
      <c r="O187" s="157"/>
      <c r="P187" s="166">
        <f t="shared" si="106"/>
        <v>3.7765517241379309</v>
      </c>
    </row>
    <row r="188" spans="1:16" ht="33.75" x14ac:dyDescent="0.2">
      <c r="A188" s="24" t="s">
        <v>145</v>
      </c>
      <c r="B188" s="176" t="s">
        <v>196</v>
      </c>
      <c r="C188" s="26">
        <f t="shared" ref="C188:D188" si="170">C189</f>
        <v>295000</v>
      </c>
      <c r="D188" s="7">
        <f t="shared" si="170"/>
        <v>669400</v>
      </c>
      <c r="E188" s="104">
        <v>627993.13</v>
      </c>
      <c r="F188" s="49">
        <f t="shared" si="136"/>
        <v>93.814330743949796</v>
      </c>
      <c r="G188" s="46">
        <f>G189</f>
        <v>585700</v>
      </c>
      <c r="H188" s="104">
        <v>585700</v>
      </c>
      <c r="I188" s="104">
        <f>I189</f>
        <v>578619.04</v>
      </c>
      <c r="J188" s="104">
        <f>J189</f>
        <v>585700</v>
      </c>
      <c r="K188" s="51">
        <f t="shared" si="111"/>
        <v>1</v>
      </c>
      <c r="L188" s="40">
        <f t="shared" ref="L188:N188" si="171">L189</f>
        <v>0</v>
      </c>
      <c r="M188" s="31">
        <f t="shared" si="171"/>
        <v>0</v>
      </c>
      <c r="N188" s="79">
        <f t="shared" si="171"/>
        <v>0</v>
      </c>
      <c r="O188" s="157">
        <f t="shared" si="105"/>
        <v>0</v>
      </c>
      <c r="P188" s="166">
        <f t="shared" si="106"/>
        <v>0</v>
      </c>
    </row>
    <row r="189" spans="1:16" ht="33.75" x14ac:dyDescent="0.2">
      <c r="A189" s="24" t="s">
        <v>146</v>
      </c>
      <c r="B189" s="176" t="s">
        <v>197</v>
      </c>
      <c r="C189" s="16">
        <v>295000</v>
      </c>
      <c r="D189" s="6">
        <f>295000+22500+41400+41400+20700+82800+165600</f>
        <v>669400</v>
      </c>
      <c r="E189" s="104">
        <v>627993.13</v>
      </c>
      <c r="F189" s="49">
        <f t="shared" si="136"/>
        <v>93.814330743949796</v>
      </c>
      <c r="G189" s="46">
        <v>585700</v>
      </c>
      <c r="H189" s="104">
        <v>585700</v>
      </c>
      <c r="I189" s="104">
        <v>578619.04</v>
      </c>
      <c r="J189" s="104">
        <v>585700</v>
      </c>
      <c r="K189" s="51">
        <f t="shared" si="111"/>
        <v>1</v>
      </c>
      <c r="L189" s="40">
        <v>0</v>
      </c>
      <c r="M189" s="31">
        <v>0</v>
      </c>
      <c r="N189" s="79">
        <v>0</v>
      </c>
      <c r="O189" s="157">
        <f t="shared" si="105"/>
        <v>0</v>
      </c>
      <c r="P189" s="166">
        <f t="shared" si="106"/>
        <v>0</v>
      </c>
    </row>
    <row r="190" spans="1:16" ht="22.5" x14ac:dyDescent="0.2">
      <c r="A190" s="23" t="s">
        <v>409</v>
      </c>
      <c r="B190" s="179" t="s">
        <v>425</v>
      </c>
      <c r="C190" s="40">
        <f t="shared" ref="C190:E190" si="172">C191</f>
        <v>0</v>
      </c>
      <c r="D190" s="31">
        <f t="shared" si="172"/>
        <v>0</v>
      </c>
      <c r="E190" s="31">
        <f t="shared" si="172"/>
        <v>0</v>
      </c>
      <c r="F190" s="49"/>
      <c r="G190" s="46">
        <f>G191</f>
        <v>0</v>
      </c>
      <c r="H190" s="104">
        <v>714800</v>
      </c>
      <c r="I190" s="104">
        <f>I191</f>
        <v>15203.12</v>
      </c>
      <c r="J190" s="104">
        <f>J191</f>
        <v>714800</v>
      </c>
      <c r="K190" s="51">
        <f t="shared" si="111"/>
        <v>1</v>
      </c>
      <c r="L190" s="40">
        <f t="shared" ref="L190:N190" si="173">L191</f>
        <v>0</v>
      </c>
      <c r="M190" s="31">
        <f t="shared" si="173"/>
        <v>0</v>
      </c>
      <c r="N190" s="79">
        <f t="shared" si="173"/>
        <v>0</v>
      </c>
      <c r="O190" s="157"/>
      <c r="P190" s="166">
        <f t="shared" si="106"/>
        <v>0</v>
      </c>
    </row>
    <row r="191" spans="1:16" ht="22.5" x14ac:dyDescent="0.2">
      <c r="A191" s="23" t="s">
        <v>410</v>
      </c>
      <c r="B191" s="179" t="s">
        <v>424</v>
      </c>
      <c r="C191" s="40">
        <v>0</v>
      </c>
      <c r="D191" s="31">
        <v>0</v>
      </c>
      <c r="E191" s="31">
        <v>0</v>
      </c>
      <c r="F191" s="49"/>
      <c r="G191" s="46">
        <v>0</v>
      </c>
      <c r="H191" s="104">
        <v>714800</v>
      </c>
      <c r="I191" s="104">
        <v>15203.12</v>
      </c>
      <c r="J191" s="104">
        <v>714800</v>
      </c>
      <c r="K191" s="51">
        <f t="shared" si="111"/>
        <v>1</v>
      </c>
      <c r="L191" s="40">
        <v>0</v>
      </c>
      <c r="M191" s="31">
        <v>0</v>
      </c>
      <c r="N191" s="79">
        <v>0</v>
      </c>
      <c r="O191" s="157"/>
      <c r="P191" s="166">
        <f t="shared" si="106"/>
        <v>0</v>
      </c>
    </row>
    <row r="192" spans="1:16" ht="22.5" x14ac:dyDescent="0.2">
      <c r="A192" s="24" t="s">
        <v>147</v>
      </c>
      <c r="B192" s="176" t="s">
        <v>198</v>
      </c>
      <c r="C192" s="16">
        <f t="shared" ref="C192:D192" si="174">C193</f>
        <v>2032200</v>
      </c>
      <c r="D192" s="6">
        <f t="shared" si="174"/>
        <v>2032200</v>
      </c>
      <c r="E192" s="104">
        <v>2032200</v>
      </c>
      <c r="F192" s="49">
        <f t="shared" si="136"/>
        <v>100</v>
      </c>
      <c r="G192" s="46">
        <f>G193</f>
        <v>2081400</v>
      </c>
      <c r="H192" s="104">
        <v>2081400</v>
      </c>
      <c r="I192" s="104">
        <f>I193</f>
        <v>1842221.59</v>
      </c>
      <c r="J192" s="104">
        <f>J193</f>
        <v>2081400</v>
      </c>
      <c r="K192" s="51">
        <f t="shared" si="111"/>
        <v>1</v>
      </c>
      <c r="L192" s="40">
        <f>L193</f>
        <v>1945600</v>
      </c>
      <c r="M192" s="31">
        <f>M193</f>
        <v>1945600</v>
      </c>
      <c r="N192" s="85">
        <f>N193</f>
        <v>1945600</v>
      </c>
      <c r="O192" s="157">
        <f t="shared" si="105"/>
        <v>0.95738608404684578</v>
      </c>
      <c r="P192" s="166">
        <f t="shared" si="106"/>
        <v>0.93475545306044006</v>
      </c>
    </row>
    <row r="193" spans="1:16" ht="33.75" x14ac:dyDescent="0.2">
      <c r="A193" s="24" t="s">
        <v>148</v>
      </c>
      <c r="B193" s="176" t="s">
        <v>199</v>
      </c>
      <c r="C193" s="16">
        <v>2032200</v>
      </c>
      <c r="D193" s="6">
        <v>2032200</v>
      </c>
      <c r="E193" s="104">
        <v>2032200</v>
      </c>
      <c r="F193" s="49">
        <f t="shared" si="136"/>
        <v>100</v>
      </c>
      <c r="G193" s="46">
        <v>2081400</v>
      </c>
      <c r="H193" s="104">
        <v>2081400</v>
      </c>
      <c r="I193" s="104">
        <v>1842221.59</v>
      </c>
      <c r="J193" s="104">
        <v>2081400</v>
      </c>
      <c r="K193" s="51">
        <f t="shared" si="111"/>
        <v>1</v>
      </c>
      <c r="L193" s="40">
        <v>1945600</v>
      </c>
      <c r="M193" s="31">
        <v>1945600</v>
      </c>
      <c r="N193" s="85">
        <v>1945600</v>
      </c>
      <c r="O193" s="157">
        <f t="shared" si="105"/>
        <v>0.95738608404684578</v>
      </c>
      <c r="P193" s="166">
        <f t="shared" si="106"/>
        <v>0.93475545306044006</v>
      </c>
    </row>
    <row r="194" spans="1:16" x14ac:dyDescent="0.2">
      <c r="A194" s="24" t="s">
        <v>149</v>
      </c>
      <c r="B194" s="176" t="s">
        <v>200</v>
      </c>
      <c r="C194" s="16">
        <f t="shared" ref="C194:D194" si="175">C195</f>
        <v>3070500</v>
      </c>
      <c r="D194" s="6">
        <f t="shared" si="175"/>
        <v>3089400</v>
      </c>
      <c r="E194" s="104">
        <v>3089400</v>
      </c>
      <c r="F194" s="49">
        <f t="shared" si="136"/>
        <v>100</v>
      </c>
      <c r="G194" s="46">
        <f>G195</f>
        <v>3157300</v>
      </c>
      <c r="H194" s="104">
        <v>3157300</v>
      </c>
      <c r="I194" s="104">
        <f>I195</f>
        <v>2720869</v>
      </c>
      <c r="J194" s="104">
        <f>J195</f>
        <v>3157300</v>
      </c>
      <c r="K194" s="51">
        <f t="shared" si="111"/>
        <v>1</v>
      </c>
      <c r="L194" s="40">
        <f>L195</f>
        <v>3231300</v>
      </c>
      <c r="M194" s="31">
        <f>M195</f>
        <v>3327300</v>
      </c>
      <c r="N194" s="85">
        <f>N195</f>
        <v>3327300</v>
      </c>
      <c r="O194" s="157">
        <f t="shared" si="105"/>
        <v>1.0459312487861721</v>
      </c>
      <c r="P194" s="166">
        <f t="shared" si="106"/>
        <v>1.023437747442435</v>
      </c>
    </row>
    <row r="195" spans="1:16" x14ac:dyDescent="0.2">
      <c r="A195" s="24" t="s">
        <v>150</v>
      </c>
      <c r="B195" s="176" t="s">
        <v>201</v>
      </c>
      <c r="C195" s="16">
        <v>3070500</v>
      </c>
      <c r="D195" s="6">
        <f>3070500+18900</f>
        <v>3089400</v>
      </c>
      <c r="E195" s="104">
        <v>3089400</v>
      </c>
      <c r="F195" s="49">
        <f t="shared" si="136"/>
        <v>100</v>
      </c>
      <c r="G195" s="46">
        <v>3157300</v>
      </c>
      <c r="H195" s="104">
        <v>3157300</v>
      </c>
      <c r="I195" s="104">
        <v>2720869</v>
      </c>
      <c r="J195" s="104">
        <v>3157300</v>
      </c>
      <c r="K195" s="51">
        <f t="shared" si="111"/>
        <v>1</v>
      </c>
      <c r="L195" s="40">
        <v>3231300</v>
      </c>
      <c r="M195" s="31">
        <v>3327300</v>
      </c>
      <c r="N195" s="85">
        <v>3327300</v>
      </c>
      <c r="O195" s="157">
        <f t="shared" si="105"/>
        <v>1.0459312487861721</v>
      </c>
      <c r="P195" s="166">
        <f t="shared" si="106"/>
        <v>1.023437747442435</v>
      </c>
    </row>
    <row r="196" spans="1:16" x14ac:dyDescent="0.2">
      <c r="A196" s="24" t="s">
        <v>276</v>
      </c>
      <c r="B196" s="186" t="s">
        <v>277</v>
      </c>
      <c r="C196" s="16">
        <f>C197+C199+C201+C203</f>
        <v>30630000</v>
      </c>
      <c r="D196" s="8">
        <f>D197+D199+D201+D203</f>
        <v>44133600</v>
      </c>
      <c r="E196" s="104">
        <v>43927943.75</v>
      </c>
      <c r="F196" s="49">
        <f t="shared" si="136"/>
        <v>99.53401433375025</v>
      </c>
      <c r="G196" s="45">
        <f>G197+G199+G201+G203+G205</f>
        <v>27310800</v>
      </c>
      <c r="H196" s="8">
        <f t="shared" ref="H196:J196" si="176">H197+H199+H201+H203+H205</f>
        <v>28910800</v>
      </c>
      <c r="I196" s="8">
        <f t="shared" si="176"/>
        <v>24144755</v>
      </c>
      <c r="J196" s="8">
        <f t="shared" si="176"/>
        <v>28910800</v>
      </c>
      <c r="K196" s="51">
        <f t="shared" si="111"/>
        <v>1</v>
      </c>
      <c r="L196" s="16">
        <f>L197+L199+L201+L203+L205</f>
        <v>27310800</v>
      </c>
      <c r="M196" s="8">
        <f t="shared" ref="M196:N196" si="177">M197+M199+M201+M203+M205</f>
        <v>27310800</v>
      </c>
      <c r="N196" s="85">
        <f t="shared" si="177"/>
        <v>27310800</v>
      </c>
      <c r="O196" s="157">
        <f t="shared" si="105"/>
        <v>0.62171815178578671</v>
      </c>
      <c r="P196" s="166">
        <f t="shared" si="106"/>
        <v>0.94465735987935306</v>
      </c>
    </row>
    <row r="197" spans="1:16" ht="45" x14ac:dyDescent="0.2">
      <c r="A197" s="24" t="s">
        <v>315</v>
      </c>
      <c r="B197" s="176" t="s">
        <v>321</v>
      </c>
      <c r="C197" s="16">
        <f t="shared" ref="C197" si="178">SUM(C198)</f>
        <v>0</v>
      </c>
      <c r="D197" s="8">
        <f>SUM(D198)</f>
        <v>8503600</v>
      </c>
      <c r="E197" s="104">
        <v>8297943.75</v>
      </c>
      <c r="F197" s="49">
        <f t="shared" si="136"/>
        <v>97.581538995249076</v>
      </c>
      <c r="G197" s="46">
        <f>G198</f>
        <v>27310800</v>
      </c>
      <c r="H197" s="104">
        <v>27310800</v>
      </c>
      <c r="I197" s="104">
        <f>I198</f>
        <v>22544755</v>
      </c>
      <c r="J197" s="104">
        <f>J198</f>
        <v>27310800</v>
      </c>
      <c r="K197" s="51">
        <f t="shared" si="111"/>
        <v>1</v>
      </c>
      <c r="L197" s="40">
        <f>L198</f>
        <v>27310800</v>
      </c>
      <c r="M197" s="31">
        <f>M198</f>
        <v>27310800</v>
      </c>
      <c r="N197" s="85">
        <f>N198</f>
        <v>27310800</v>
      </c>
      <c r="O197" s="157">
        <f t="shared" si="105"/>
        <v>3.2912732145237791</v>
      </c>
      <c r="P197" s="166">
        <f t="shared" si="106"/>
        <v>1</v>
      </c>
    </row>
    <row r="198" spans="1:16" ht="50.25" customHeight="1" x14ac:dyDescent="0.2">
      <c r="A198" s="24" t="s">
        <v>316</v>
      </c>
      <c r="B198" s="176" t="s">
        <v>322</v>
      </c>
      <c r="C198" s="16">
        <v>0</v>
      </c>
      <c r="D198" s="8">
        <f>0+9103600-600000</f>
        <v>8503600</v>
      </c>
      <c r="E198" s="104">
        <v>8297943.75</v>
      </c>
      <c r="F198" s="49">
        <f t="shared" si="136"/>
        <v>97.581538995249076</v>
      </c>
      <c r="G198" s="46">
        <v>27310800</v>
      </c>
      <c r="H198" s="104">
        <v>27310800</v>
      </c>
      <c r="I198" s="104">
        <v>22544755</v>
      </c>
      <c r="J198" s="104">
        <v>27310800</v>
      </c>
      <c r="K198" s="51">
        <f t="shared" si="111"/>
        <v>1</v>
      </c>
      <c r="L198" s="40">
        <v>27310800</v>
      </c>
      <c r="M198" s="31">
        <v>27310800</v>
      </c>
      <c r="N198" s="85">
        <v>27310800</v>
      </c>
      <c r="O198" s="157">
        <f t="shared" si="105"/>
        <v>3.2912732145237791</v>
      </c>
      <c r="P198" s="166">
        <f t="shared" si="106"/>
        <v>1</v>
      </c>
    </row>
    <row r="199" spans="1:16" ht="45" x14ac:dyDescent="0.2">
      <c r="A199" s="24" t="s">
        <v>278</v>
      </c>
      <c r="B199" s="176" t="s">
        <v>279</v>
      </c>
      <c r="C199" s="16">
        <f>C200</f>
        <v>30330000</v>
      </c>
      <c r="D199" s="8">
        <f>D200</f>
        <v>30330000</v>
      </c>
      <c r="E199" s="104">
        <v>30330000</v>
      </c>
      <c r="F199" s="49">
        <f t="shared" si="136"/>
        <v>100</v>
      </c>
      <c r="G199" s="45">
        <f t="shared" ref="G199:J199" si="179">G200</f>
        <v>0</v>
      </c>
      <c r="H199" s="8">
        <f t="shared" si="179"/>
        <v>0</v>
      </c>
      <c r="I199" s="8">
        <f t="shared" si="179"/>
        <v>0</v>
      </c>
      <c r="J199" s="8">
        <f t="shared" si="179"/>
        <v>0</v>
      </c>
      <c r="K199" s="51"/>
      <c r="L199" s="16">
        <f t="shared" ref="L199:N199" si="180">L200</f>
        <v>0</v>
      </c>
      <c r="M199" s="8">
        <f t="shared" si="180"/>
        <v>0</v>
      </c>
      <c r="N199" s="85">
        <f t="shared" si="180"/>
        <v>0</v>
      </c>
      <c r="O199" s="157">
        <f t="shared" ref="O199:O222" si="181">L199/E199</f>
        <v>0</v>
      </c>
      <c r="P199" s="166"/>
    </row>
    <row r="200" spans="1:16" ht="45" x14ac:dyDescent="0.2">
      <c r="A200" s="24" t="s">
        <v>280</v>
      </c>
      <c r="B200" s="176" t="s">
        <v>281</v>
      </c>
      <c r="C200" s="16">
        <v>30330000</v>
      </c>
      <c r="D200" s="8">
        <v>30330000</v>
      </c>
      <c r="E200" s="104">
        <v>30330000</v>
      </c>
      <c r="F200" s="49">
        <f t="shared" si="136"/>
        <v>100</v>
      </c>
      <c r="G200" s="45">
        <v>0</v>
      </c>
      <c r="H200" s="8">
        <v>0</v>
      </c>
      <c r="I200" s="8">
        <v>0</v>
      </c>
      <c r="J200" s="8">
        <v>0</v>
      </c>
      <c r="K200" s="51"/>
      <c r="L200" s="16">
        <v>0</v>
      </c>
      <c r="M200" s="8">
        <v>0</v>
      </c>
      <c r="N200" s="85">
        <v>0</v>
      </c>
      <c r="O200" s="157">
        <f t="shared" si="181"/>
        <v>0</v>
      </c>
      <c r="P200" s="166"/>
    </row>
    <row r="201" spans="1:16" ht="22.5" x14ac:dyDescent="0.2">
      <c r="A201" s="24" t="s">
        <v>282</v>
      </c>
      <c r="B201" s="176" t="s">
        <v>283</v>
      </c>
      <c r="C201" s="16">
        <f>C202</f>
        <v>300000</v>
      </c>
      <c r="D201" s="8">
        <f>D202</f>
        <v>300000</v>
      </c>
      <c r="E201" s="104">
        <v>300000</v>
      </c>
      <c r="F201" s="49">
        <f t="shared" si="136"/>
        <v>100</v>
      </c>
      <c r="G201" s="45">
        <f t="shared" ref="G201:J201" si="182">G202</f>
        <v>0</v>
      </c>
      <c r="H201" s="8">
        <f t="shared" si="182"/>
        <v>0</v>
      </c>
      <c r="I201" s="8">
        <f t="shared" si="182"/>
        <v>0</v>
      </c>
      <c r="J201" s="8">
        <f t="shared" si="182"/>
        <v>0</v>
      </c>
      <c r="K201" s="51"/>
      <c r="L201" s="16">
        <f t="shared" ref="L201:N201" si="183">L202</f>
        <v>0</v>
      </c>
      <c r="M201" s="8">
        <f t="shared" si="183"/>
        <v>0</v>
      </c>
      <c r="N201" s="85">
        <f t="shared" si="183"/>
        <v>0</v>
      </c>
      <c r="O201" s="157">
        <f t="shared" si="181"/>
        <v>0</v>
      </c>
      <c r="P201" s="166"/>
    </row>
    <row r="202" spans="1:16" ht="33.75" x14ac:dyDescent="0.2">
      <c r="A202" s="24" t="s">
        <v>284</v>
      </c>
      <c r="B202" s="176" t="s">
        <v>285</v>
      </c>
      <c r="C202" s="16">
        <v>300000</v>
      </c>
      <c r="D202" s="8">
        <v>300000</v>
      </c>
      <c r="E202" s="104">
        <v>300000</v>
      </c>
      <c r="F202" s="49">
        <f t="shared" si="136"/>
        <v>100</v>
      </c>
      <c r="G202" s="45">
        <v>0</v>
      </c>
      <c r="H202" s="8">
        <v>0</v>
      </c>
      <c r="I202" s="8">
        <v>0</v>
      </c>
      <c r="J202" s="8">
        <v>0</v>
      </c>
      <c r="K202" s="51"/>
      <c r="L202" s="16">
        <v>0</v>
      </c>
      <c r="M202" s="8">
        <v>0</v>
      </c>
      <c r="N202" s="85">
        <v>0</v>
      </c>
      <c r="O202" s="157">
        <f t="shared" si="181"/>
        <v>0</v>
      </c>
      <c r="P202" s="166"/>
    </row>
    <row r="203" spans="1:16" ht="22.5" x14ac:dyDescent="0.2">
      <c r="A203" s="24" t="s">
        <v>318</v>
      </c>
      <c r="B203" s="176" t="s">
        <v>319</v>
      </c>
      <c r="C203" s="16">
        <f t="shared" ref="C203:G205" si="184">C204</f>
        <v>0</v>
      </c>
      <c r="D203" s="8">
        <f>D204</f>
        <v>5000000</v>
      </c>
      <c r="E203" s="104">
        <v>5000000</v>
      </c>
      <c r="F203" s="49">
        <f t="shared" si="136"/>
        <v>100</v>
      </c>
      <c r="G203" s="45">
        <f t="shared" ref="G203:J203" si="185">G204</f>
        <v>0</v>
      </c>
      <c r="H203" s="8">
        <f t="shared" si="185"/>
        <v>0</v>
      </c>
      <c r="I203" s="8">
        <f t="shared" si="185"/>
        <v>0</v>
      </c>
      <c r="J203" s="8">
        <f t="shared" si="185"/>
        <v>0</v>
      </c>
      <c r="K203" s="51"/>
      <c r="L203" s="16">
        <f t="shared" ref="L203:N203" si="186">L204</f>
        <v>0</v>
      </c>
      <c r="M203" s="8">
        <f t="shared" si="186"/>
        <v>0</v>
      </c>
      <c r="N203" s="85">
        <f t="shared" si="186"/>
        <v>0</v>
      </c>
      <c r="O203" s="157">
        <f t="shared" si="181"/>
        <v>0</v>
      </c>
      <c r="P203" s="166"/>
    </row>
    <row r="204" spans="1:16" ht="33.75" x14ac:dyDescent="0.2">
      <c r="A204" s="24" t="s">
        <v>320</v>
      </c>
      <c r="B204" s="176" t="s">
        <v>317</v>
      </c>
      <c r="C204" s="16">
        <v>0</v>
      </c>
      <c r="D204" s="8">
        <v>5000000</v>
      </c>
      <c r="E204" s="104">
        <v>5000000</v>
      </c>
      <c r="F204" s="49">
        <f t="shared" si="136"/>
        <v>100</v>
      </c>
      <c r="G204" s="45">
        <v>0</v>
      </c>
      <c r="H204" s="8">
        <v>0</v>
      </c>
      <c r="I204" s="8">
        <v>0</v>
      </c>
      <c r="J204" s="8">
        <v>0</v>
      </c>
      <c r="K204" s="51"/>
      <c r="L204" s="16">
        <v>0</v>
      </c>
      <c r="M204" s="8">
        <v>0</v>
      </c>
      <c r="N204" s="85">
        <v>0</v>
      </c>
      <c r="O204" s="157">
        <f t="shared" si="181"/>
        <v>0</v>
      </c>
      <c r="P204" s="166"/>
    </row>
    <row r="205" spans="1:16" x14ac:dyDescent="0.2">
      <c r="A205" s="23" t="s">
        <v>411</v>
      </c>
      <c r="B205" s="179" t="s">
        <v>429</v>
      </c>
      <c r="C205" s="16">
        <f t="shared" si="184"/>
        <v>0</v>
      </c>
      <c r="D205" s="8">
        <f t="shared" si="184"/>
        <v>0</v>
      </c>
      <c r="E205" s="8">
        <f t="shared" si="184"/>
        <v>0</v>
      </c>
      <c r="F205" s="49"/>
      <c r="G205" s="45">
        <f t="shared" si="184"/>
        <v>0</v>
      </c>
      <c r="H205" s="104">
        <v>1600000</v>
      </c>
      <c r="I205" s="104">
        <f>I206</f>
        <v>1600000</v>
      </c>
      <c r="J205" s="104">
        <f>J206</f>
        <v>1600000</v>
      </c>
      <c r="K205" s="51">
        <f t="shared" ref="K205:K212" si="187">J205/H205</f>
        <v>1</v>
      </c>
      <c r="L205" s="16">
        <f t="shared" ref="L205:M205" si="188">L206</f>
        <v>0</v>
      </c>
      <c r="M205" s="8">
        <f t="shared" si="188"/>
        <v>0</v>
      </c>
      <c r="N205" s="115">
        <f>N206</f>
        <v>0</v>
      </c>
      <c r="O205" s="157"/>
      <c r="P205" s="166">
        <f t="shared" ref="P199:P222" si="189">L205/J205</f>
        <v>0</v>
      </c>
    </row>
    <row r="206" spans="1:16" ht="22.5" x14ac:dyDescent="0.2">
      <c r="A206" s="23" t="s">
        <v>412</v>
      </c>
      <c r="B206" s="179" t="s">
        <v>430</v>
      </c>
      <c r="C206" s="16">
        <v>0</v>
      </c>
      <c r="D206" s="8">
        <v>0</v>
      </c>
      <c r="E206" s="8">
        <v>0</v>
      </c>
      <c r="F206" s="49"/>
      <c r="G206" s="45">
        <v>0</v>
      </c>
      <c r="H206" s="104">
        <v>1600000</v>
      </c>
      <c r="I206" s="104">
        <v>1600000</v>
      </c>
      <c r="J206" s="104">
        <v>1600000</v>
      </c>
      <c r="K206" s="51">
        <f t="shared" si="187"/>
        <v>1</v>
      </c>
      <c r="L206" s="16">
        <v>0</v>
      </c>
      <c r="M206" s="104">
        <v>0</v>
      </c>
      <c r="N206" s="115">
        <v>0</v>
      </c>
      <c r="O206" s="157"/>
      <c r="P206" s="166">
        <f t="shared" si="189"/>
        <v>0</v>
      </c>
    </row>
    <row r="207" spans="1:16" ht="21.75" x14ac:dyDescent="0.2">
      <c r="A207" s="25" t="s">
        <v>367</v>
      </c>
      <c r="B207" s="180" t="s">
        <v>428</v>
      </c>
      <c r="C207" s="21">
        <f t="shared" ref="C207:D208" si="190">C208</f>
        <v>0</v>
      </c>
      <c r="D207" s="20">
        <f t="shared" si="190"/>
        <v>0</v>
      </c>
      <c r="E207" s="125">
        <v>26865</v>
      </c>
      <c r="F207" s="50"/>
      <c r="G207" s="47">
        <f t="shared" ref="G207:J208" si="191">G208</f>
        <v>0</v>
      </c>
      <c r="H207" s="20">
        <f t="shared" si="191"/>
        <v>0</v>
      </c>
      <c r="I207" s="20">
        <f t="shared" si="191"/>
        <v>0</v>
      </c>
      <c r="J207" s="20">
        <f t="shared" si="191"/>
        <v>0</v>
      </c>
      <c r="K207" s="67"/>
      <c r="L207" s="21">
        <f t="shared" ref="L207:N208" si="192">L208</f>
        <v>0</v>
      </c>
      <c r="M207" s="20">
        <f t="shared" si="192"/>
        <v>0</v>
      </c>
      <c r="N207" s="86">
        <f t="shared" si="192"/>
        <v>0</v>
      </c>
      <c r="O207" s="158">
        <f t="shared" si="181"/>
        <v>0</v>
      </c>
      <c r="P207" s="167"/>
    </row>
    <row r="208" spans="1:16" ht="22.5" x14ac:dyDescent="0.2">
      <c r="A208" s="23" t="s">
        <v>368</v>
      </c>
      <c r="B208" s="179" t="s">
        <v>427</v>
      </c>
      <c r="C208" s="16">
        <f t="shared" si="190"/>
        <v>0</v>
      </c>
      <c r="D208" s="8">
        <f t="shared" si="190"/>
        <v>0</v>
      </c>
      <c r="E208" s="104">
        <v>26865</v>
      </c>
      <c r="F208" s="49"/>
      <c r="G208" s="45">
        <f t="shared" si="191"/>
        <v>0</v>
      </c>
      <c r="H208" s="8">
        <f t="shared" si="191"/>
        <v>0</v>
      </c>
      <c r="I208" s="8">
        <f t="shared" si="191"/>
        <v>0</v>
      </c>
      <c r="J208" s="8">
        <f t="shared" si="191"/>
        <v>0</v>
      </c>
      <c r="K208" s="51"/>
      <c r="L208" s="16">
        <f t="shared" si="192"/>
        <v>0</v>
      </c>
      <c r="M208" s="8">
        <f t="shared" si="192"/>
        <v>0</v>
      </c>
      <c r="N208" s="85">
        <f t="shared" si="192"/>
        <v>0</v>
      </c>
      <c r="O208" s="157">
        <f t="shared" si="181"/>
        <v>0</v>
      </c>
      <c r="P208" s="166"/>
    </row>
    <row r="209" spans="1:16" ht="22.5" x14ac:dyDescent="0.2">
      <c r="A209" s="23" t="s">
        <v>369</v>
      </c>
      <c r="B209" s="179" t="s">
        <v>426</v>
      </c>
      <c r="C209" s="16">
        <v>0</v>
      </c>
      <c r="D209" s="8">
        <v>0</v>
      </c>
      <c r="E209" s="104">
        <v>26865</v>
      </c>
      <c r="F209" s="49"/>
      <c r="G209" s="45">
        <v>0</v>
      </c>
      <c r="H209" s="8">
        <v>0</v>
      </c>
      <c r="I209" s="8">
        <v>0</v>
      </c>
      <c r="J209" s="8">
        <v>0</v>
      </c>
      <c r="K209" s="51"/>
      <c r="L209" s="16">
        <v>0</v>
      </c>
      <c r="M209" s="8">
        <v>0</v>
      </c>
      <c r="N209" s="85">
        <v>0</v>
      </c>
      <c r="O209" s="157">
        <f t="shared" si="181"/>
        <v>0</v>
      </c>
      <c r="P209" s="166"/>
    </row>
    <row r="210" spans="1:16" x14ac:dyDescent="0.2">
      <c r="A210" s="25" t="s">
        <v>354</v>
      </c>
      <c r="B210" s="186" t="s">
        <v>357</v>
      </c>
      <c r="C210" s="19">
        <f t="shared" ref="C210:C211" si="193">C211</f>
        <v>0</v>
      </c>
      <c r="D210" s="9">
        <f>D211</f>
        <v>53000</v>
      </c>
      <c r="E210" s="108">
        <v>53685.120000000003</v>
      </c>
      <c r="F210" s="50">
        <f t="shared" ref="F210:F218" si="194">E210/D210*100</f>
        <v>101.29267924528303</v>
      </c>
      <c r="G210" s="48">
        <f t="shared" ref="G210:G211" si="195">G211</f>
        <v>0</v>
      </c>
      <c r="H210" s="108">
        <v>7075667.8799999999</v>
      </c>
      <c r="I210" s="108">
        <f>I211</f>
        <v>7075669.3899999997</v>
      </c>
      <c r="J210" s="108">
        <f>J211</f>
        <v>7075670</v>
      </c>
      <c r="K210" s="67">
        <f t="shared" si="187"/>
        <v>1.0000002996183592</v>
      </c>
      <c r="L210" s="19">
        <f t="shared" ref="L210:N211" si="196">L211</f>
        <v>0</v>
      </c>
      <c r="M210" s="9">
        <f t="shared" si="196"/>
        <v>0</v>
      </c>
      <c r="N210" s="87">
        <f t="shared" si="196"/>
        <v>0</v>
      </c>
      <c r="O210" s="158">
        <f t="shared" si="181"/>
        <v>0</v>
      </c>
      <c r="P210" s="167">
        <f t="shared" si="189"/>
        <v>0</v>
      </c>
    </row>
    <row r="211" spans="1:16" ht="22.5" x14ac:dyDescent="0.2">
      <c r="A211" s="23" t="s">
        <v>355</v>
      </c>
      <c r="B211" s="176" t="s">
        <v>356</v>
      </c>
      <c r="C211" s="16">
        <f t="shared" si="193"/>
        <v>0</v>
      </c>
      <c r="D211" s="8">
        <f>D212</f>
        <v>53000</v>
      </c>
      <c r="E211" s="104">
        <v>53685.120000000003</v>
      </c>
      <c r="F211" s="49">
        <f t="shared" si="194"/>
        <v>101.29267924528303</v>
      </c>
      <c r="G211" s="45">
        <f t="shared" si="195"/>
        <v>0</v>
      </c>
      <c r="H211" s="104">
        <v>7075667.8799999999</v>
      </c>
      <c r="I211" s="104">
        <f>I212</f>
        <v>7075669.3899999997</v>
      </c>
      <c r="J211" s="104">
        <f>J212</f>
        <v>7075670</v>
      </c>
      <c r="K211" s="51">
        <f t="shared" si="187"/>
        <v>1.0000002996183592</v>
      </c>
      <c r="L211" s="16">
        <f t="shared" si="196"/>
        <v>0</v>
      </c>
      <c r="M211" s="8">
        <f t="shared" si="196"/>
        <v>0</v>
      </c>
      <c r="N211" s="85">
        <f t="shared" si="196"/>
        <v>0</v>
      </c>
      <c r="O211" s="157">
        <f t="shared" si="181"/>
        <v>0</v>
      </c>
      <c r="P211" s="166">
        <f t="shared" si="189"/>
        <v>0</v>
      </c>
    </row>
    <row r="212" spans="1:16" ht="22.5" x14ac:dyDescent="0.2">
      <c r="A212" s="23" t="s">
        <v>355</v>
      </c>
      <c r="B212" s="176" t="s">
        <v>358</v>
      </c>
      <c r="C212" s="16">
        <v>0</v>
      </c>
      <c r="D212" s="8">
        <v>53000</v>
      </c>
      <c r="E212" s="104">
        <v>53685.120000000003</v>
      </c>
      <c r="F212" s="49">
        <f t="shared" si="194"/>
        <v>101.29267924528303</v>
      </c>
      <c r="G212" s="45">
        <v>0</v>
      </c>
      <c r="H212" s="104">
        <v>7075667.8799999999</v>
      </c>
      <c r="I212" s="104">
        <v>7075669.3899999997</v>
      </c>
      <c r="J212" s="104">
        <v>7075670</v>
      </c>
      <c r="K212" s="51">
        <f t="shared" si="187"/>
        <v>1.0000002996183592</v>
      </c>
      <c r="L212" s="16">
        <v>0</v>
      </c>
      <c r="M212" s="8">
        <v>0</v>
      </c>
      <c r="N212" s="85">
        <v>0</v>
      </c>
      <c r="O212" s="157">
        <f t="shared" si="181"/>
        <v>0</v>
      </c>
      <c r="P212" s="166">
        <f t="shared" si="189"/>
        <v>0</v>
      </c>
    </row>
    <row r="213" spans="1:16" ht="53.25" x14ac:dyDescent="0.2">
      <c r="A213" s="25" t="s">
        <v>342</v>
      </c>
      <c r="B213" s="180" t="s">
        <v>348</v>
      </c>
      <c r="C213" s="126">
        <f t="shared" ref="C213:C215" si="197">C214</f>
        <v>0</v>
      </c>
      <c r="D213" s="108">
        <f t="shared" ref="D213:D215" si="198">D214</f>
        <v>60000</v>
      </c>
      <c r="E213" s="108">
        <v>59999.57</v>
      </c>
      <c r="F213" s="50">
        <f t="shared" si="194"/>
        <v>99.999283333333338</v>
      </c>
      <c r="G213" s="117">
        <f t="shared" ref="G213:G215" si="199">G214</f>
        <v>0</v>
      </c>
      <c r="H213" s="108">
        <v>0</v>
      </c>
      <c r="I213" s="108">
        <f t="shared" ref="I213:J215" si="200">I214</f>
        <v>73302.850000000006</v>
      </c>
      <c r="J213" s="108">
        <f t="shared" si="200"/>
        <v>73300</v>
      </c>
      <c r="K213" s="67"/>
      <c r="L213" s="126">
        <f t="shared" ref="L213:N215" si="201">L214</f>
        <v>0</v>
      </c>
      <c r="M213" s="108">
        <f t="shared" si="201"/>
        <v>0</v>
      </c>
      <c r="N213" s="118">
        <f t="shared" si="201"/>
        <v>0</v>
      </c>
      <c r="O213" s="158">
        <f t="shared" si="181"/>
        <v>0</v>
      </c>
      <c r="P213" s="167">
        <f t="shared" si="189"/>
        <v>0</v>
      </c>
    </row>
    <row r="214" spans="1:16" ht="67.5" x14ac:dyDescent="0.2">
      <c r="A214" s="23" t="s">
        <v>343</v>
      </c>
      <c r="B214" s="179" t="s">
        <v>349</v>
      </c>
      <c r="C214" s="120">
        <f t="shared" si="197"/>
        <v>0</v>
      </c>
      <c r="D214" s="104">
        <f t="shared" si="198"/>
        <v>60000</v>
      </c>
      <c r="E214" s="104">
        <v>59999.57</v>
      </c>
      <c r="F214" s="49">
        <f t="shared" si="194"/>
        <v>99.999283333333338</v>
      </c>
      <c r="G214" s="119">
        <f t="shared" si="199"/>
        <v>0</v>
      </c>
      <c r="H214" s="104">
        <v>0</v>
      </c>
      <c r="I214" s="104">
        <f t="shared" si="200"/>
        <v>73302.850000000006</v>
      </c>
      <c r="J214" s="104">
        <f t="shared" si="200"/>
        <v>73300</v>
      </c>
      <c r="K214" s="51"/>
      <c r="L214" s="120">
        <f t="shared" si="201"/>
        <v>0</v>
      </c>
      <c r="M214" s="104">
        <f t="shared" si="201"/>
        <v>0</v>
      </c>
      <c r="N214" s="115">
        <f t="shared" si="201"/>
        <v>0</v>
      </c>
      <c r="O214" s="157">
        <f t="shared" si="181"/>
        <v>0</v>
      </c>
      <c r="P214" s="166">
        <f t="shared" si="189"/>
        <v>0</v>
      </c>
    </row>
    <row r="215" spans="1:16" ht="67.5" x14ac:dyDescent="0.2">
      <c r="A215" s="23" t="s">
        <v>344</v>
      </c>
      <c r="B215" s="179" t="s">
        <v>350</v>
      </c>
      <c r="C215" s="120">
        <f t="shared" si="197"/>
        <v>0</v>
      </c>
      <c r="D215" s="104">
        <f t="shared" si="198"/>
        <v>60000</v>
      </c>
      <c r="E215" s="104">
        <v>59999.57</v>
      </c>
      <c r="F215" s="49">
        <f t="shared" si="194"/>
        <v>99.999283333333338</v>
      </c>
      <c r="G215" s="119">
        <f t="shared" si="199"/>
        <v>0</v>
      </c>
      <c r="H215" s="104">
        <v>0</v>
      </c>
      <c r="I215" s="104">
        <f t="shared" si="200"/>
        <v>73302.850000000006</v>
      </c>
      <c r="J215" s="104">
        <f t="shared" si="200"/>
        <v>73300</v>
      </c>
      <c r="K215" s="51"/>
      <c r="L215" s="120">
        <f t="shared" si="201"/>
        <v>0</v>
      </c>
      <c r="M215" s="104">
        <f t="shared" si="201"/>
        <v>0</v>
      </c>
      <c r="N215" s="115">
        <f t="shared" si="201"/>
        <v>0</v>
      </c>
      <c r="O215" s="157">
        <f t="shared" si="181"/>
        <v>0</v>
      </c>
      <c r="P215" s="166">
        <f t="shared" si="189"/>
        <v>0</v>
      </c>
    </row>
    <row r="216" spans="1:16" ht="22.5" x14ac:dyDescent="0.2">
      <c r="A216" s="23" t="s">
        <v>345</v>
      </c>
      <c r="B216" s="179" t="s">
        <v>353</v>
      </c>
      <c r="C216" s="120">
        <f t="shared" ref="C216" si="202">C217+C218</f>
        <v>0</v>
      </c>
      <c r="D216" s="104">
        <f>D217+D218</f>
        <v>60000</v>
      </c>
      <c r="E216" s="104">
        <v>59999.57</v>
      </c>
      <c r="F216" s="49">
        <f t="shared" si="194"/>
        <v>99.999283333333338</v>
      </c>
      <c r="G216" s="119">
        <f t="shared" ref="G216" si="203">G217+G218</f>
        <v>0</v>
      </c>
      <c r="H216" s="104">
        <v>0</v>
      </c>
      <c r="I216" s="104">
        <f>I217+I218</f>
        <v>73302.850000000006</v>
      </c>
      <c r="J216" s="104">
        <f>J217+J218</f>
        <v>73300</v>
      </c>
      <c r="K216" s="51"/>
      <c r="L216" s="120">
        <f t="shared" ref="L216:N216" si="204">L217+L218</f>
        <v>0</v>
      </c>
      <c r="M216" s="104">
        <f t="shared" si="204"/>
        <v>0</v>
      </c>
      <c r="N216" s="115">
        <f t="shared" si="204"/>
        <v>0</v>
      </c>
      <c r="O216" s="157">
        <f t="shared" si="181"/>
        <v>0</v>
      </c>
      <c r="P216" s="166">
        <f t="shared" si="189"/>
        <v>0</v>
      </c>
    </row>
    <row r="217" spans="1:16" ht="22.5" x14ac:dyDescent="0.2">
      <c r="A217" s="23" t="s">
        <v>346</v>
      </c>
      <c r="B217" s="179" t="s">
        <v>352</v>
      </c>
      <c r="C217" s="16">
        <v>0</v>
      </c>
      <c r="D217" s="13">
        <v>35800</v>
      </c>
      <c r="E217" s="104">
        <v>35801.17</v>
      </c>
      <c r="F217" s="49">
        <f t="shared" si="194"/>
        <v>100.00326815642457</v>
      </c>
      <c r="G217" s="45">
        <v>0</v>
      </c>
      <c r="H217" s="104">
        <v>0</v>
      </c>
      <c r="I217" s="104">
        <v>21753.72</v>
      </c>
      <c r="J217" s="104">
        <v>21750</v>
      </c>
      <c r="K217" s="51"/>
      <c r="L217" s="16">
        <v>0</v>
      </c>
      <c r="M217" s="8">
        <v>0</v>
      </c>
      <c r="N217" s="85">
        <v>0</v>
      </c>
      <c r="O217" s="157">
        <f t="shared" si="181"/>
        <v>0</v>
      </c>
      <c r="P217" s="166">
        <f t="shared" si="189"/>
        <v>0</v>
      </c>
    </row>
    <row r="218" spans="1:16" ht="33.75" x14ac:dyDescent="0.2">
      <c r="A218" s="23" t="s">
        <v>347</v>
      </c>
      <c r="B218" s="179" t="s">
        <v>351</v>
      </c>
      <c r="C218" s="16">
        <v>0</v>
      </c>
      <c r="D218" s="13">
        <v>24200</v>
      </c>
      <c r="E218" s="104">
        <v>24198.400000000001</v>
      </c>
      <c r="F218" s="49">
        <f t="shared" si="194"/>
        <v>99.993388429752073</v>
      </c>
      <c r="G218" s="45">
        <v>0</v>
      </c>
      <c r="H218" s="104">
        <v>0</v>
      </c>
      <c r="I218" s="104">
        <v>51549.13</v>
      </c>
      <c r="J218" s="104">
        <v>51550</v>
      </c>
      <c r="K218" s="51"/>
      <c r="L218" s="16">
        <v>0</v>
      </c>
      <c r="M218" s="8">
        <v>0</v>
      </c>
      <c r="N218" s="85">
        <v>0</v>
      </c>
      <c r="O218" s="157">
        <f t="shared" si="181"/>
        <v>0</v>
      </c>
      <c r="P218" s="166">
        <f t="shared" si="189"/>
        <v>0</v>
      </c>
    </row>
    <row r="219" spans="1:16" ht="32.25" x14ac:dyDescent="0.2">
      <c r="A219" s="25" t="s">
        <v>370</v>
      </c>
      <c r="B219" s="180" t="s">
        <v>442</v>
      </c>
      <c r="C219" s="19">
        <f t="shared" ref="C219:D220" si="205">C220</f>
        <v>0</v>
      </c>
      <c r="D219" s="9">
        <f t="shared" si="205"/>
        <v>0</v>
      </c>
      <c r="E219" s="108">
        <v>-2627318.46</v>
      </c>
      <c r="F219" s="50"/>
      <c r="G219" s="48">
        <f t="shared" ref="G219:G220" si="206">G220</f>
        <v>0</v>
      </c>
      <c r="H219" s="108">
        <v>0</v>
      </c>
      <c r="I219" s="108">
        <f>I220</f>
        <v>-488349.82</v>
      </c>
      <c r="J219" s="108">
        <f>J220</f>
        <v>-488350</v>
      </c>
      <c r="K219" s="67"/>
      <c r="L219" s="19">
        <f t="shared" ref="L219:N220" si="207">L220</f>
        <v>0</v>
      </c>
      <c r="M219" s="9">
        <f t="shared" si="207"/>
        <v>0</v>
      </c>
      <c r="N219" s="87">
        <f t="shared" si="207"/>
        <v>0</v>
      </c>
      <c r="O219" s="158">
        <f t="shared" si="181"/>
        <v>0</v>
      </c>
      <c r="P219" s="167">
        <f t="shared" si="189"/>
        <v>0</v>
      </c>
    </row>
    <row r="220" spans="1:16" ht="33.75" x14ac:dyDescent="0.2">
      <c r="A220" s="23" t="s">
        <v>371</v>
      </c>
      <c r="B220" s="179" t="s">
        <v>443</v>
      </c>
      <c r="C220" s="16">
        <f t="shared" si="205"/>
        <v>0</v>
      </c>
      <c r="D220" s="8">
        <f t="shared" si="205"/>
        <v>0</v>
      </c>
      <c r="E220" s="104">
        <v>-2627318.46</v>
      </c>
      <c r="F220" s="49"/>
      <c r="G220" s="45">
        <f t="shared" si="206"/>
        <v>0</v>
      </c>
      <c r="H220" s="104">
        <v>0</v>
      </c>
      <c r="I220" s="104">
        <f>I221</f>
        <v>-488349.82</v>
      </c>
      <c r="J220" s="104">
        <f>J221</f>
        <v>-488350</v>
      </c>
      <c r="K220" s="51"/>
      <c r="L220" s="16">
        <f t="shared" si="207"/>
        <v>0</v>
      </c>
      <c r="M220" s="8">
        <f t="shared" si="207"/>
        <v>0</v>
      </c>
      <c r="N220" s="85">
        <f t="shared" si="207"/>
        <v>0</v>
      </c>
      <c r="O220" s="157">
        <f t="shared" si="181"/>
        <v>0</v>
      </c>
      <c r="P220" s="166">
        <f t="shared" si="189"/>
        <v>0</v>
      </c>
    </row>
    <row r="221" spans="1:16" ht="34.5" thickBot="1" x14ac:dyDescent="0.25">
      <c r="A221" s="141" t="s">
        <v>372</v>
      </c>
      <c r="B221" s="187" t="s">
        <v>444</v>
      </c>
      <c r="C221" s="142">
        <v>0</v>
      </c>
      <c r="D221" s="143">
        <v>0</v>
      </c>
      <c r="E221" s="131">
        <v>-2627318.46</v>
      </c>
      <c r="F221" s="129"/>
      <c r="G221" s="144">
        <v>0</v>
      </c>
      <c r="H221" s="131">
        <v>0</v>
      </c>
      <c r="I221" s="131">
        <v>-488349.82</v>
      </c>
      <c r="J221" s="131">
        <v>-488350</v>
      </c>
      <c r="K221" s="132"/>
      <c r="L221" s="142">
        <v>0</v>
      </c>
      <c r="M221" s="143">
        <v>0</v>
      </c>
      <c r="N221" s="135">
        <v>0</v>
      </c>
      <c r="O221" s="160">
        <f t="shared" si="181"/>
        <v>0</v>
      </c>
      <c r="P221" s="169">
        <f t="shared" si="189"/>
        <v>0</v>
      </c>
    </row>
    <row r="222" spans="1:16" ht="13.5" thickBot="1" x14ac:dyDescent="0.25">
      <c r="A222" s="197" t="s">
        <v>304</v>
      </c>
      <c r="B222" s="188" t="s">
        <v>172</v>
      </c>
      <c r="C222" s="145">
        <f>C143+C6</f>
        <v>1287848882</v>
      </c>
      <c r="D222" s="146">
        <f>D143+D6</f>
        <v>1277779482</v>
      </c>
      <c r="E222" s="146">
        <f>E143+E6</f>
        <v>1269990437.8300002</v>
      </c>
      <c r="F222" s="147">
        <f>E222/D222*100</f>
        <v>99.390423443190031</v>
      </c>
      <c r="G222" s="148">
        <f>G143+G6</f>
        <v>1471268694</v>
      </c>
      <c r="H222" s="146">
        <f t="shared" ref="H222:J222" si="208">H143+H6</f>
        <v>1440657683.1500001</v>
      </c>
      <c r="I222" s="146">
        <f t="shared" si="208"/>
        <v>1336822928.0999999</v>
      </c>
      <c r="J222" s="146">
        <f t="shared" si="208"/>
        <v>1468041128</v>
      </c>
      <c r="K222" s="149">
        <f>J222/H222</f>
        <v>1.0190075999109838</v>
      </c>
      <c r="L222" s="145">
        <f t="shared" ref="L222:N222" si="209">L143+L6</f>
        <v>1383685107</v>
      </c>
      <c r="M222" s="146">
        <f t="shared" si="209"/>
        <v>1203421290</v>
      </c>
      <c r="N222" s="150">
        <f t="shared" si="209"/>
        <v>1110278250.9000001</v>
      </c>
      <c r="O222" s="161">
        <f t="shared" si="181"/>
        <v>1.089524035601612</v>
      </c>
      <c r="P222" s="170">
        <f t="shared" si="189"/>
        <v>0.94253838030074588</v>
      </c>
    </row>
    <row r="223" spans="1:16" x14ac:dyDescent="0.2">
      <c r="A223" s="1"/>
      <c r="B223" s="1"/>
      <c r="C223" s="1"/>
      <c r="D223" s="1"/>
    </row>
    <row r="224" spans="1:16" x14ac:dyDescent="0.2">
      <c r="A224" s="18"/>
      <c r="B224" s="1"/>
      <c r="C224" s="3"/>
      <c r="D224" s="4"/>
      <c r="H224" s="30"/>
      <c r="I224" s="30"/>
      <c r="J224" s="30"/>
    </row>
    <row r="225" spans="1:4" x14ac:dyDescent="0.2">
      <c r="A225" s="1"/>
      <c r="B225" s="1"/>
      <c r="C225" s="1"/>
      <c r="D225" s="3"/>
    </row>
    <row r="226" spans="1:4" x14ac:dyDescent="0.2">
      <c r="A226" s="1"/>
      <c r="B226" s="1"/>
      <c r="C226" s="1"/>
      <c r="D226" s="3"/>
    </row>
    <row r="227" spans="1:4" x14ac:dyDescent="0.2">
      <c r="A227" s="1"/>
      <c r="B227" s="1"/>
      <c r="C227" s="1"/>
      <c r="D227" s="3"/>
    </row>
    <row r="228" spans="1:4" x14ac:dyDescent="0.2">
      <c r="A228" s="1"/>
      <c r="B228" s="1"/>
      <c r="C228" s="1"/>
      <c r="D228" s="3"/>
    </row>
    <row r="229" spans="1:4" x14ac:dyDescent="0.2">
      <c r="A229" s="1"/>
      <c r="B229" s="1"/>
      <c r="C229" s="1"/>
      <c r="D229" s="3"/>
    </row>
    <row r="230" spans="1:4" x14ac:dyDescent="0.2">
      <c r="A230" s="1"/>
      <c r="B230" s="1"/>
      <c r="C230" s="1"/>
      <c r="D230" s="1"/>
    </row>
    <row r="231" spans="1:4" x14ac:dyDescent="0.2">
      <c r="A231" s="1"/>
      <c r="B231" s="1"/>
      <c r="C231" s="1"/>
      <c r="D231" s="1"/>
    </row>
    <row r="232" spans="1:4" x14ac:dyDescent="0.2">
      <c r="A232" s="1"/>
      <c r="B232" s="1"/>
      <c r="C232" s="1"/>
      <c r="D232" s="1"/>
    </row>
    <row r="233" spans="1:4" x14ac:dyDescent="0.2">
      <c r="A233" s="1"/>
      <c r="B233" s="1"/>
      <c r="C233" s="1"/>
      <c r="D233" s="1"/>
    </row>
    <row r="234" spans="1:4" x14ac:dyDescent="0.2">
      <c r="A234" s="1"/>
      <c r="B234" s="1"/>
      <c r="C234" s="1"/>
      <c r="D234" s="1"/>
    </row>
    <row r="235" spans="1:4" x14ac:dyDescent="0.2">
      <c r="A235" s="1"/>
      <c r="B235" s="1"/>
      <c r="C235" s="1"/>
      <c r="D235" s="1"/>
    </row>
    <row r="236" spans="1:4" x14ac:dyDescent="0.2">
      <c r="A236" s="1"/>
      <c r="B236" s="1"/>
      <c r="C236" s="1"/>
      <c r="D236" s="1"/>
    </row>
    <row r="237" spans="1:4" x14ac:dyDescent="0.2">
      <c r="A237" s="1"/>
      <c r="B237" s="1"/>
      <c r="C237" s="1"/>
      <c r="D237" s="1"/>
    </row>
    <row r="238" spans="1:4" x14ac:dyDescent="0.2">
      <c r="A238" s="1"/>
      <c r="B238" s="1"/>
      <c r="C238" s="1"/>
      <c r="D238" s="1"/>
    </row>
    <row r="239" spans="1:4" x14ac:dyDescent="0.2">
      <c r="A239" s="1"/>
      <c r="B239" s="1"/>
      <c r="C239" s="1"/>
      <c r="D239" s="1"/>
    </row>
    <row r="240" spans="1:4" x14ac:dyDescent="0.2">
      <c r="A240" s="1"/>
      <c r="B240" s="1"/>
      <c r="C240" s="1"/>
      <c r="D240" s="1"/>
    </row>
    <row r="241" spans="1:4" x14ac:dyDescent="0.2">
      <c r="A241" s="1"/>
      <c r="B241" s="1"/>
      <c r="C241" s="1"/>
      <c r="D241" s="1"/>
    </row>
    <row r="242" spans="1:4" x14ac:dyDescent="0.2">
      <c r="A242" s="1"/>
      <c r="B242" s="1"/>
      <c r="C242" s="1"/>
      <c r="D242" s="1"/>
    </row>
    <row r="243" spans="1:4" x14ac:dyDescent="0.2">
      <c r="A243" s="1"/>
      <c r="B243" s="1"/>
      <c r="C243" s="1"/>
      <c r="D243" s="1"/>
    </row>
    <row r="244" spans="1:4" x14ac:dyDescent="0.2">
      <c r="A244" s="1"/>
      <c r="B244" s="1"/>
      <c r="C244" s="1"/>
      <c r="D244" s="1"/>
    </row>
    <row r="245" spans="1:4" x14ac:dyDescent="0.2">
      <c r="A245" s="1"/>
      <c r="B245" s="1"/>
      <c r="C245" s="1"/>
      <c r="D245" s="1"/>
    </row>
    <row r="246" spans="1:4" x14ac:dyDescent="0.2">
      <c r="A246" s="1"/>
      <c r="B246" s="1"/>
      <c r="C246" s="1"/>
      <c r="D246" s="1"/>
    </row>
    <row r="247" spans="1:4" x14ac:dyDescent="0.2">
      <c r="A247" s="1"/>
      <c r="B247" s="1"/>
      <c r="C247" s="1"/>
      <c r="D247" s="1"/>
    </row>
    <row r="248" spans="1:4" x14ac:dyDescent="0.2">
      <c r="A248" s="1"/>
      <c r="B248" s="1"/>
      <c r="C248" s="1"/>
      <c r="D248" s="1"/>
    </row>
    <row r="249" spans="1:4" x14ac:dyDescent="0.2">
      <c r="A249" s="1"/>
      <c r="B249" s="1"/>
      <c r="C249" s="1"/>
      <c r="D249" s="1"/>
    </row>
    <row r="250" spans="1:4" x14ac:dyDescent="0.2">
      <c r="A250" s="1"/>
      <c r="B250" s="1"/>
      <c r="C250" s="1"/>
      <c r="D250" s="1"/>
    </row>
    <row r="251" spans="1:4" x14ac:dyDescent="0.2">
      <c r="A251" s="1"/>
      <c r="B251" s="1"/>
      <c r="C251" s="1"/>
      <c r="D251" s="1"/>
    </row>
    <row r="252" spans="1:4" x14ac:dyDescent="0.2">
      <c r="A252" s="1"/>
      <c r="B252" s="1"/>
      <c r="C252" s="1"/>
      <c r="D252" s="1"/>
    </row>
    <row r="253" spans="1:4" x14ac:dyDescent="0.2">
      <c r="A253" s="1"/>
      <c r="B253" s="1"/>
      <c r="C253" s="1"/>
      <c r="D253" s="1"/>
    </row>
    <row r="254" spans="1:4" x14ac:dyDescent="0.2">
      <c r="A254" s="1"/>
      <c r="B254" s="1"/>
      <c r="C254" s="1"/>
      <c r="D254" s="1"/>
    </row>
    <row r="255" spans="1:4" x14ac:dyDescent="0.2">
      <c r="A255" s="1"/>
      <c r="B255" s="1"/>
      <c r="C255" s="1"/>
      <c r="D255" s="1"/>
    </row>
    <row r="256" spans="1:4" x14ac:dyDescent="0.2">
      <c r="A256" s="1"/>
      <c r="B256" s="1"/>
      <c r="C256" s="1"/>
      <c r="D256" s="1"/>
    </row>
    <row r="257" spans="1:4" x14ac:dyDescent="0.2">
      <c r="A257" s="1"/>
      <c r="B257" s="1"/>
      <c r="C257" s="1"/>
      <c r="D257" s="1"/>
    </row>
    <row r="258" spans="1:4" x14ac:dyDescent="0.2">
      <c r="A258" s="1"/>
      <c r="B258" s="1"/>
      <c r="C258" s="1"/>
      <c r="D258" s="1"/>
    </row>
    <row r="259" spans="1:4" x14ac:dyDescent="0.2">
      <c r="A259" s="1"/>
      <c r="B259" s="1"/>
      <c r="C259" s="1"/>
      <c r="D259" s="1"/>
    </row>
    <row r="260" spans="1:4" x14ac:dyDescent="0.2">
      <c r="A260" s="1"/>
      <c r="B260" s="1"/>
      <c r="C260" s="1"/>
      <c r="D260" s="1"/>
    </row>
    <row r="261" spans="1:4" x14ac:dyDescent="0.2">
      <c r="A261" s="1"/>
      <c r="B261" s="1"/>
      <c r="C261" s="1"/>
      <c r="D261" s="1"/>
    </row>
    <row r="262" spans="1:4" x14ac:dyDescent="0.2">
      <c r="A262" s="1"/>
      <c r="B262" s="1"/>
      <c r="C262" s="1"/>
      <c r="D262" s="1"/>
    </row>
    <row r="263" spans="1:4" x14ac:dyDescent="0.2">
      <c r="A263" s="1"/>
      <c r="B263" s="1"/>
      <c r="C263" s="1"/>
      <c r="D263" s="1"/>
    </row>
    <row r="264" spans="1:4" x14ac:dyDescent="0.2">
      <c r="A264" s="1"/>
      <c r="B264" s="1"/>
      <c r="C264" s="1"/>
      <c r="D264" s="1"/>
    </row>
    <row r="265" spans="1:4" x14ac:dyDescent="0.2">
      <c r="A265" s="1"/>
      <c r="B265" s="1"/>
      <c r="C265" s="1"/>
      <c r="D265" s="1"/>
    </row>
    <row r="266" spans="1:4" x14ac:dyDescent="0.2">
      <c r="A266" s="1"/>
      <c r="B266" s="1"/>
      <c r="C266" s="1"/>
      <c r="D266" s="1"/>
    </row>
    <row r="267" spans="1:4" x14ac:dyDescent="0.2">
      <c r="A267" s="1"/>
      <c r="B267" s="1"/>
      <c r="C267" s="1"/>
      <c r="D267" s="1"/>
    </row>
    <row r="268" spans="1:4" x14ac:dyDescent="0.2">
      <c r="A268" s="1"/>
      <c r="B268" s="1"/>
      <c r="C268" s="1"/>
      <c r="D268" s="1"/>
    </row>
    <row r="269" spans="1:4" x14ac:dyDescent="0.2">
      <c r="A269" s="1"/>
      <c r="B269" s="1"/>
      <c r="C269" s="1"/>
      <c r="D269" s="1"/>
    </row>
    <row r="270" spans="1:4" x14ac:dyDescent="0.2">
      <c r="A270" s="1"/>
      <c r="B270" s="1"/>
      <c r="C270" s="1"/>
      <c r="D270" s="1"/>
    </row>
    <row r="271" spans="1:4" x14ac:dyDescent="0.2">
      <c r="A271" s="1"/>
      <c r="B271" s="1"/>
      <c r="C271" s="1"/>
      <c r="D271" s="1"/>
    </row>
    <row r="272" spans="1:4" x14ac:dyDescent="0.2">
      <c r="A272" s="1"/>
      <c r="B272" s="1"/>
      <c r="C272" s="1"/>
      <c r="D272" s="1"/>
    </row>
    <row r="273" spans="1:4" x14ac:dyDescent="0.2">
      <c r="A273" s="1"/>
      <c r="B273" s="1"/>
      <c r="C273" s="1"/>
      <c r="D273" s="1"/>
    </row>
    <row r="274" spans="1:4" x14ac:dyDescent="0.2">
      <c r="A274" s="1"/>
      <c r="B274" s="1"/>
      <c r="C274" s="1"/>
      <c r="D274" s="1"/>
    </row>
    <row r="275" spans="1:4" x14ac:dyDescent="0.2">
      <c r="A275" s="1"/>
      <c r="B275" s="1"/>
      <c r="C275" s="1"/>
      <c r="D275" s="1"/>
    </row>
    <row r="276" spans="1:4" x14ac:dyDescent="0.2">
      <c r="A276" s="1"/>
      <c r="B276" s="1"/>
      <c r="C276" s="1"/>
      <c r="D276" s="1"/>
    </row>
    <row r="277" spans="1:4" x14ac:dyDescent="0.2">
      <c r="A277" s="1"/>
      <c r="B277" s="1"/>
      <c r="C277" s="1"/>
      <c r="D277" s="1"/>
    </row>
    <row r="278" spans="1:4" x14ac:dyDescent="0.2">
      <c r="A278" s="1"/>
      <c r="B278" s="1"/>
      <c r="C278" s="1"/>
      <c r="D278" s="1"/>
    </row>
    <row r="279" spans="1:4" x14ac:dyDescent="0.2">
      <c r="A279" s="1"/>
      <c r="B279" s="1"/>
      <c r="C279" s="1"/>
      <c r="D279" s="1"/>
    </row>
    <row r="280" spans="1:4" x14ac:dyDescent="0.2">
      <c r="A280" s="1"/>
      <c r="B280" s="1"/>
      <c r="C280" s="1"/>
      <c r="D280" s="1"/>
    </row>
    <row r="281" spans="1:4" x14ac:dyDescent="0.2">
      <c r="A281" s="1"/>
      <c r="B281" s="1"/>
      <c r="C281" s="1"/>
      <c r="D281" s="1"/>
    </row>
    <row r="282" spans="1:4" x14ac:dyDescent="0.2">
      <c r="A282" s="1"/>
      <c r="B282" s="1"/>
      <c r="C282" s="1"/>
      <c r="D282" s="1"/>
    </row>
    <row r="283" spans="1:4" x14ac:dyDescent="0.2">
      <c r="A283" s="1"/>
      <c r="B283" s="1"/>
      <c r="C283" s="1"/>
      <c r="D283" s="1"/>
    </row>
    <row r="284" spans="1:4" x14ac:dyDescent="0.2">
      <c r="A284" s="1"/>
      <c r="B284" s="1"/>
      <c r="C284" s="1"/>
      <c r="D284" s="1"/>
    </row>
    <row r="285" spans="1:4" x14ac:dyDescent="0.2">
      <c r="A285" s="1"/>
      <c r="B285" s="1"/>
      <c r="C285" s="1"/>
      <c r="D285" s="1"/>
    </row>
    <row r="286" spans="1:4" x14ac:dyDescent="0.2">
      <c r="A286" s="1"/>
      <c r="B286" s="1"/>
      <c r="C286" s="1"/>
      <c r="D286" s="1"/>
    </row>
    <row r="287" spans="1:4" x14ac:dyDescent="0.2">
      <c r="A287" s="1"/>
      <c r="B287" s="1"/>
      <c r="C287" s="1"/>
      <c r="D287" s="1"/>
    </row>
    <row r="288" spans="1:4" x14ac:dyDescent="0.2">
      <c r="A288" s="1"/>
      <c r="B288" s="1"/>
      <c r="C288" s="1"/>
      <c r="D288" s="1"/>
    </row>
    <row r="289" spans="1:4" x14ac:dyDescent="0.2">
      <c r="A289" s="1"/>
      <c r="B289" s="1"/>
      <c r="C289" s="1"/>
      <c r="D289" s="1"/>
    </row>
    <row r="290" spans="1:4" x14ac:dyDescent="0.2">
      <c r="A290" s="1"/>
      <c r="B290" s="1"/>
      <c r="C290" s="1"/>
      <c r="D290" s="1"/>
    </row>
    <row r="291" spans="1:4" x14ac:dyDescent="0.2">
      <c r="A291" s="1"/>
      <c r="B291" s="1"/>
      <c r="C291" s="1"/>
      <c r="D291" s="1"/>
    </row>
    <row r="292" spans="1:4" x14ac:dyDescent="0.2">
      <c r="A292" s="1"/>
      <c r="B292" s="1"/>
      <c r="C292" s="1"/>
      <c r="D292" s="1"/>
    </row>
    <row r="293" spans="1:4" x14ac:dyDescent="0.2">
      <c r="A293" s="1"/>
      <c r="B293" s="1"/>
      <c r="C293" s="1"/>
      <c r="D293" s="1"/>
    </row>
    <row r="294" spans="1:4" x14ac:dyDescent="0.2">
      <c r="A294" s="1"/>
      <c r="B294" s="1"/>
      <c r="C294" s="1"/>
      <c r="D294" s="1"/>
    </row>
    <row r="295" spans="1:4" x14ac:dyDescent="0.2">
      <c r="A295" s="1"/>
      <c r="B295" s="1"/>
      <c r="C295" s="1"/>
      <c r="D295" s="1"/>
    </row>
    <row r="296" spans="1:4" x14ac:dyDescent="0.2">
      <c r="A296" s="1"/>
      <c r="B296" s="1"/>
      <c r="C296" s="1"/>
      <c r="D296" s="1"/>
    </row>
    <row r="297" spans="1:4" x14ac:dyDescent="0.2">
      <c r="A297" s="1"/>
      <c r="B297" s="1"/>
      <c r="C297" s="1"/>
      <c r="D297" s="1"/>
    </row>
    <row r="298" spans="1:4" x14ac:dyDescent="0.2">
      <c r="A298" s="1"/>
      <c r="B298" s="1"/>
      <c r="C298" s="1"/>
      <c r="D298" s="1"/>
    </row>
    <row r="299" spans="1:4" x14ac:dyDescent="0.2">
      <c r="A299" s="1"/>
      <c r="B299" s="1"/>
      <c r="C299" s="1"/>
      <c r="D299" s="1"/>
    </row>
    <row r="300" spans="1:4" x14ac:dyDescent="0.2">
      <c r="A300" s="1"/>
      <c r="B300" s="1"/>
      <c r="C300" s="1"/>
      <c r="D300" s="1"/>
    </row>
    <row r="301" spans="1:4" x14ac:dyDescent="0.2">
      <c r="A301" s="1"/>
      <c r="B301" s="1"/>
      <c r="C301" s="1"/>
      <c r="D301" s="1"/>
    </row>
    <row r="302" spans="1:4" x14ac:dyDescent="0.2">
      <c r="A302" s="1"/>
      <c r="B302" s="1"/>
      <c r="C302" s="1"/>
      <c r="D302" s="1"/>
    </row>
    <row r="303" spans="1:4" x14ac:dyDescent="0.2">
      <c r="A303" s="1"/>
      <c r="B303" s="1"/>
      <c r="C303" s="1"/>
      <c r="D303" s="1"/>
    </row>
    <row r="304" spans="1:4" x14ac:dyDescent="0.2">
      <c r="A304" s="1"/>
      <c r="B304" s="1"/>
      <c r="C304" s="1"/>
      <c r="D304" s="1"/>
    </row>
    <row r="305" spans="1:4" x14ac:dyDescent="0.2">
      <c r="A305" s="1"/>
      <c r="B305" s="1"/>
      <c r="C305" s="1"/>
      <c r="D305" s="1"/>
    </row>
    <row r="306" spans="1:4" x14ac:dyDescent="0.2">
      <c r="A306" s="1"/>
      <c r="B306" s="1"/>
      <c r="C306" s="1"/>
      <c r="D306" s="1"/>
    </row>
    <row r="307" spans="1:4" x14ac:dyDescent="0.2">
      <c r="A307" s="1"/>
      <c r="B307" s="1"/>
      <c r="C307" s="1"/>
      <c r="D307" s="1"/>
    </row>
    <row r="308" spans="1:4" x14ac:dyDescent="0.2">
      <c r="A308" s="1"/>
      <c r="B308" s="1"/>
      <c r="C308" s="1"/>
      <c r="D308" s="1"/>
    </row>
    <row r="309" spans="1:4" x14ac:dyDescent="0.2">
      <c r="A309" s="1"/>
      <c r="B309" s="1"/>
      <c r="C309" s="1"/>
      <c r="D309" s="1"/>
    </row>
    <row r="310" spans="1:4" x14ac:dyDescent="0.2">
      <c r="A310" s="1"/>
      <c r="B310" s="1"/>
      <c r="C310" s="1"/>
      <c r="D310" s="1"/>
    </row>
    <row r="311" spans="1:4" x14ac:dyDescent="0.2">
      <c r="A311" s="1"/>
      <c r="B311" s="1"/>
      <c r="C311" s="1"/>
      <c r="D311" s="1"/>
    </row>
    <row r="312" spans="1:4" x14ac:dyDescent="0.2">
      <c r="A312" s="1"/>
      <c r="B312" s="1"/>
      <c r="C312" s="1"/>
      <c r="D312" s="1"/>
    </row>
    <row r="313" spans="1:4" x14ac:dyDescent="0.2">
      <c r="A313" s="1"/>
      <c r="B313" s="1"/>
      <c r="C313" s="1"/>
      <c r="D313" s="1"/>
    </row>
    <row r="314" spans="1:4" x14ac:dyDescent="0.2">
      <c r="A314" s="1"/>
      <c r="B314" s="1"/>
      <c r="C314" s="1"/>
      <c r="D314" s="1"/>
    </row>
    <row r="315" spans="1:4" x14ac:dyDescent="0.2">
      <c r="A315" s="1"/>
      <c r="B315" s="1"/>
      <c r="C315" s="1"/>
      <c r="D315" s="1"/>
    </row>
    <row r="316" spans="1:4" x14ac:dyDescent="0.2">
      <c r="A316" s="1"/>
      <c r="B316" s="1"/>
      <c r="C316" s="1"/>
      <c r="D316" s="1"/>
    </row>
    <row r="317" spans="1:4" x14ac:dyDescent="0.2">
      <c r="A317" s="1"/>
      <c r="B317" s="1"/>
      <c r="C317" s="1"/>
      <c r="D317" s="1"/>
    </row>
    <row r="318" spans="1:4" x14ac:dyDescent="0.2">
      <c r="A318" s="1"/>
      <c r="B318" s="1"/>
      <c r="C318" s="1"/>
      <c r="D318" s="1"/>
    </row>
    <row r="319" spans="1:4" x14ac:dyDescent="0.2">
      <c r="A319" s="1"/>
      <c r="B319" s="1"/>
      <c r="C319" s="1"/>
      <c r="D319" s="1"/>
    </row>
    <row r="320" spans="1:4" x14ac:dyDescent="0.2">
      <c r="A320" s="1"/>
      <c r="B320" s="1"/>
      <c r="C320" s="1"/>
      <c r="D320" s="1"/>
    </row>
    <row r="321" spans="1:4" x14ac:dyDescent="0.2">
      <c r="A321" s="1"/>
      <c r="B321" s="1"/>
      <c r="C321" s="1"/>
      <c r="D321" s="1"/>
    </row>
    <row r="322" spans="1:4" x14ac:dyDescent="0.2">
      <c r="A322" s="1"/>
      <c r="B322" s="1"/>
      <c r="C322" s="1"/>
      <c r="D322" s="1"/>
    </row>
    <row r="323" spans="1:4" x14ac:dyDescent="0.2">
      <c r="A323" s="1"/>
      <c r="B323" s="1"/>
      <c r="C323" s="1"/>
      <c r="D323" s="1"/>
    </row>
    <row r="324" spans="1:4" x14ac:dyDescent="0.2">
      <c r="A324" s="1"/>
      <c r="B324" s="1"/>
      <c r="C324" s="1"/>
      <c r="D324" s="1"/>
    </row>
    <row r="325" spans="1:4" x14ac:dyDescent="0.2">
      <c r="A325" s="1"/>
      <c r="B325" s="1"/>
      <c r="C325" s="1"/>
      <c r="D325" s="1"/>
    </row>
    <row r="326" spans="1:4" x14ac:dyDescent="0.2">
      <c r="A326" s="1"/>
      <c r="B326" s="1"/>
      <c r="C326" s="1"/>
      <c r="D326" s="1"/>
    </row>
    <row r="327" spans="1:4" x14ac:dyDescent="0.2">
      <c r="A327" s="1"/>
      <c r="B327" s="1"/>
      <c r="C327" s="1"/>
      <c r="D327" s="1"/>
    </row>
    <row r="328" spans="1:4" x14ac:dyDescent="0.2">
      <c r="A328" s="1"/>
      <c r="B328" s="1"/>
      <c r="C328" s="1"/>
      <c r="D328" s="1"/>
    </row>
    <row r="329" spans="1:4" x14ac:dyDescent="0.2">
      <c r="A329" s="1"/>
      <c r="B329" s="1"/>
      <c r="C329" s="1"/>
      <c r="D329" s="1"/>
    </row>
    <row r="330" spans="1:4" x14ac:dyDescent="0.2">
      <c r="A330" s="1"/>
      <c r="B330" s="1"/>
      <c r="C330" s="1"/>
      <c r="D330" s="1"/>
    </row>
    <row r="331" spans="1:4" x14ac:dyDescent="0.2">
      <c r="A331" s="1"/>
      <c r="B331" s="1"/>
      <c r="C331" s="1"/>
      <c r="D331" s="1"/>
    </row>
    <row r="332" spans="1:4" x14ac:dyDescent="0.2">
      <c r="A332" s="1"/>
      <c r="B332" s="1"/>
      <c r="C332" s="1"/>
      <c r="D332" s="1"/>
    </row>
    <row r="333" spans="1:4" x14ac:dyDescent="0.2">
      <c r="A333" s="1"/>
      <c r="B333" s="1"/>
      <c r="C333" s="1"/>
      <c r="D333" s="1"/>
    </row>
    <row r="334" spans="1:4" x14ac:dyDescent="0.2">
      <c r="A334" s="1"/>
      <c r="B334" s="1"/>
      <c r="C334" s="1"/>
      <c r="D334" s="1"/>
    </row>
    <row r="335" spans="1:4" x14ac:dyDescent="0.2">
      <c r="A335" s="1"/>
      <c r="B335" s="1"/>
      <c r="C335" s="1"/>
      <c r="D335" s="1"/>
    </row>
    <row r="336" spans="1:4" x14ac:dyDescent="0.2">
      <c r="A336" s="1"/>
      <c r="B336" s="1"/>
      <c r="C336" s="1"/>
      <c r="D336" s="1"/>
    </row>
    <row r="337" spans="1:4" x14ac:dyDescent="0.2">
      <c r="A337" s="1"/>
      <c r="B337" s="1"/>
      <c r="C337" s="1"/>
      <c r="D337" s="1"/>
    </row>
    <row r="338" spans="1:4" x14ac:dyDescent="0.2">
      <c r="A338" s="1"/>
      <c r="B338" s="1"/>
      <c r="C338" s="1"/>
      <c r="D338" s="1"/>
    </row>
    <row r="339" spans="1:4" x14ac:dyDescent="0.2">
      <c r="A339" s="1"/>
      <c r="B339" s="1"/>
      <c r="C339" s="1"/>
      <c r="D339" s="1"/>
    </row>
    <row r="340" spans="1:4" x14ac:dyDescent="0.2">
      <c r="A340" s="1"/>
      <c r="B340" s="1"/>
      <c r="C340" s="1"/>
      <c r="D340" s="1"/>
    </row>
    <row r="341" spans="1:4" x14ac:dyDescent="0.2">
      <c r="A341" s="1"/>
      <c r="B341" s="1"/>
      <c r="C341" s="1"/>
      <c r="D341" s="1"/>
    </row>
    <row r="342" spans="1:4" x14ac:dyDescent="0.2">
      <c r="A342" s="1"/>
      <c r="B342" s="1"/>
      <c r="C342" s="1"/>
      <c r="D342" s="1"/>
    </row>
    <row r="343" spans="1:4" x14ac:dyDescent="0.2">
      <c r="A343" s="1"/>
      <c r="B343" s="1"/>
      <c r="C343" s="1"/>
      <c r="D343" s="1"/>
    </row>
    <row r="344" spans="1:4" x14ac:dyDescent="0.2">
      <c r="A344" s="1"/>
      <c r="B344" s="1"/>
      <c r="C344" s="1"/>
      <c r="D344" s="1"/>
    </row>
    <row r="345" spans="1:4" x14ac:dyDescent="0.2">
      <c r="A345" s="1"/>
      <c r="B345" s="1"/>
      <c r="C345" s="1"/>
      <c r="D345" s="1"/>
    </row>
    <row r="346" spans="1:4" x14ac:dyDescent="0.2">
      <c r="A346" s="1"/>
      <c r="B346" s="1"/>
      <c r="C346" s="1"/>
      <c r="D346" s="1"/>
    </row>
    <row r="347" spans="1:4" x14ac:dyDescent="0.2">
      <c r="A347" s="1"/>
      <c r="B347" s="1"/>
      <c r="C347" s="1"/>
      <c r="D347" s="1"/>
    </row>
    <row r="348" spans="1:4" x14ac:dyDescent="0.2">
      <c r="A348" s="1"/>
      <c r="B348" s="1"/>
      <c r="C348" s="1"/>
      <c r="D348" s="1"/>
    </row>
    <row r="349" spans="1:4" x14ac:dyDescent="0.2">
      <c r="A349" s="1"/>
      <c r="B349" s="1"/>
      <c r="C349" s="1"/>
      <c r="D349" s="1"/>
    </row>
    <row r="350" spans="1:4" x14ac:dyDescent="0.2">
      <c r="A350" s="1"/>
      <c r="B350" s="1"/>
      <c r="C350" s="1"/>
      <c r="D350" s="1"/>
    </row>
    <row r="351" spans="1:4" x14ac:dyDescent="0.2">
      <c r="A351" s="1"/>
      <c r="B351" s="1"/>
      <c r="C351" s="1"/>
      <c r="D351" s="1"/>
    </row>
    <row r="352" spans="1:4" x14ac:dyDescent="0.2">
      <c r="A352" s="1"/>
      <c r="B352" s="1"/>
      <c r="C352" s="1"/>
      <c r="D352" s="1"/>
    </row>
    <row r="353" spans="1:4" x14ac:dyDescent="0.2">
      <c r="A353" s="1"/>
      <c r="B353" s="1"/>
      <c r="C353" s="1"/>
      <c r="D353" s="1"/>
    </row>
    <row r="354" spans="1:4" x14ac:dyDescent="0.2">
      <c r="A354" s="1"/>
      <c r="B354" s="1"/>
      <c r="C354" s="1"/>
      <c r="D354" s="1"/>
    </row>
    <row r="355" spans="1:4" x14ac:dyDescent="0.2">
      <c r="A355" s="1"/>
      <c r="B355" s="1"/>
      <c r="C355" s="1"/>
      <c r="D355" s="1"/>
    </row>
    <row r="356" spans="1:4" x14ac:dyDescent="0.2">
      <c r="A356" s="1"/>
      <c r="B356" s="1"/>
      <c r="C356" s="1"/>
      <c r="D356" s="1"/>
    </row>
    <row r="357" spans="1:4" x14ac:dyDescent="0.2">
      <c r="A357" s="1"/>
      <c r="B357" s="1"/>
      <c r="C357" s="1"/>
      <c r="D357" s="1"/>
    </row>
    <row r="358" spans="1:4" x14ac:dyDescent="0.2">
      <c r="A358" s="1"/>
      <c r="B358" s="1"/>
      <c r="C358" s="1"/>
      <c r="D358" s="1"/>
    </row>
  </sheetData>
  <mergeCells count="7">
    <mergeCell ref="A1:P1"/>
    <mergeCell ref="C3:F3"/>
    <mergeCell ref="G3:K3"/>
    <mergeCell ref="A3:A4"/>
    <mergeCell ref="B3:B4"/>
    <mergeCell ref="L4:N4"/>
    <mergeCell ref="O3:P3"/>
  </mergeCells>
  <phoneticPr fontId="1" type="noConversion"/>
  <pageMargins left="0.62992125984251968" right="0.43307086614173229" top="0.35433070866141736" bottom="0.35433070866141736" header="0.31496062992125984" footer="0.31496062992125984"/>
  <pageSetup paperSize="9" fitToHeight="0" orientation="portrait" r:id="rId1"/>
  <headerFooter alignWithMargins="0"/>
  <ignoredErrors>
    <ignoredError sqref="D155 B155:B164 B210:B218 A5:B5 B12:B33 B75:B109 B192:B204 B6:B11 B70:B72 B129:B151 B34:B66 B122:B125 B177:B189 B167:B168 B171:B174 B175:B176 B205:B209 B67:B69 B73:B74 B121 B112:B118 B110:B111 B119:B120 B126:B128 B165:B166 B190:B191 B219:B221" numberStoredAsText="1"/>
    <ignoredError sqref="D172:D174 D189 D147 D179:D185 D14:D22 D156:D158 C14 C153:C154 C152:D152 D196 D143:D144 F6:F8 F13:G14 G16:G22 F49:F53 F23:F24 F94 G147:G149 G151:G158 F143:F153 G180:G181 F222 F38:F45 L14:N14 H152:J152 G160 G162 G177:G178 G164:G168 G172:G174 G185 K7:K8 K34:K36 K38:K45 K53 K59 K61:K66 K70:K74 K75:K82 K83:K86 I13:K15 K17:K27 K49:K50 K87:K93 K94:K99 K106:K109 K143:K155 K121:K122 K119 K117 K141 K165:K176 K177:K178 K222 K205:K212 K179:K204 K213:K214 K138:K140 K128 K110:K112 K100:K103 I95" formula="1"/>
    <ignoredError sqref="B152 B153:B154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Доходы бюджета</vt:lpstr>
      <vt:lpstr>__bookmark_7</vt:lpstr>
      <vt:lpstr>'Доходы бюджета'!Заголовки_для_печати</vt:lpstr>
      <vt:lpstr>'Доходы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2021-12-03T06:37:18Z</cp:lastPrinted>
  <dcterms:created xsi:type="dcterms:W3CDTF">2017-10-06T09:25:18Z</dcterms:created>
  <dcterms:modified xsi:type="dcterms:W3CDTF">2021-12-03T06:40:17Z</dcterms:modified>
</cp:coreProperties>
</file>